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F9536B62-36C6-478F-8183-D5C4CD648987}" xr6:coauthVersionLast="47" xr6:coauthVersionMax="47" xr10:uidLastSave="{00000000-0000-0000-0000-000000000000}"/>
  <bookViews>
    <workbookView xWindow="-120" yWindow="-120" windowWidth="29040" windowHeight="15840" xr2:uid="{6C0ACE63-5658-42C8-AFCE-2A7CFA6D5A7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4" i="1" l="1"/>
  <c r="B152" i="1"/>
  <c r="B150" i="1"/>
  <c r="B148" i="1"/>
  <c r="B146" i="1"/>
  <c r="B145" i="1"/>
  <c r="B143" i="1"/>
  <c r="B142" i="1"/>
  <c r="B140" i="1"/>
  <c r="B139" i="1"/>
  <c r="B137" i="1"/>
  <c r="B136" i="1"/>
  <c r="B134" i="1"/>
  <c r="B132" i="1"/>
  <c r="B130" i="1"/>
  <c r="B128" i="1"/>
  <c r="B126" i="1"/>
  <c r="B123" i="1"/>
  <c r="B121" i="1"/>
  <c r="B119" i="1"/>
  <c r="B117" i="1"/>
  <c r="B116" i="1"/>
  <c r="B114" i="1"/>
  <c r="B112" i="1"/>
  <c r="B110" i="1"/>
  <c r="B108" i="1"/>
  <c r="B107" i="1"/>
  <c r="B105" i="1"/>
  <c r="B104" i="1"/>
  <c r="B102" i="1"/>
  <c r="B100" i="1"/>
  <c r="B98" i="1"/>
  <c r="B97" i="1"/>
  <c r="B96" i="1"/>
  <c r="B94" i="1"/>
  <c r="B93" i="1"/>
  <c r="B92" i="1"/>
  <c r="B90" i="1"/>
  <c r="B88" i="1"/>
  <c r="B87" i="1"/>
  <c r="B85" i="1"/>
  <c r="B84" i="1"/>
  <c r="B83" i="1"/>
  <c r="B81" i="1"/>
  <c r="B80" i="1"/>
  <c r="B78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6" i="1"/>
  <c r="B25" i="1"/>
  <c r="B24" i="1"/>
  <c r="B23" i="1"/>
  <c r="B22" i="1"/>
  <c r="B21" i="1"/>
  <c r="B20" i="1"/>
  <c r="B19" i="1"/>
  <c r="B16" i="1"/>
  <c r="B15" i="1"/>
  <c r="B14" i="1"/>
  <c r="B13" i="1"/>
  <c r="B12" i="1"/>
  <c r="B11" i="1"/>
  <c r="B10" i="1"/>
  <c r="B6" i="1"/>
  <c r="B5" i="1"/>
  <c r="B4" i="1"/>
</calcChain>
</file>

<file path=xl/sharedStrings.xml><?xml version="1.0" encoding="utf-8"?>
<sst xmlns="http://schemas.openxmlformats.org/spreadsheetml/2006/main" count="1116" uniqueCount="391">
  <si>
    <t xml:space="preserve">   </t>
  </si>
  <si>
    <t xml:space="preserve">  </t>
  </si>
  <si>
    <t xml:space="preserve">D    </t>
  </si>
  <si>
    <t xml:space="preserve">G </t>
  </si>
  <si>
    <t>VG</t>
  </si>
  <si>
    <t>NIL</t>
  </si>
  <si>
    <t>EX</t>
  </si>
  <si>
    <t>NON</t>
  </si>
  <si>
    <t>MED</t>
  </si>
  <si>
    <t>SLI</t>
  </si>
  <si>
    <t xml:space="preserve">F  </t>
  </si>
  <si>
    <t>FAI</t>
  </si>
  <si>
    <t xml:space="preserve">E    </t>
  </si>
  <si>
    <t>VSL</t>
  </si>
  <si>
    <t>FA</t>
  </si>
  <si>
    <t>STR</t>
  </si>
  <si>
    <t xml:space="preserve">F    </t>
  </si>
  <si>
    <t xml:space="preserve">FY   </t>
  </si>
  <si>
    <t xml:space="preserve">G    </t>
  </si>
  <si>
    <t xml:space="preserve">H    </t>
  </si>
  <si>
    <t xml:space="preserve">I    </t>
  </si>
  <si>
    <t xml:space="preserve">SL </t>
  </si>
  <si>
    <t xml:space="preserve">F </t>
  </si>
  <si>
    <t xml:space="preserve">J    </t>
  </si>
  <si>
    <t xml:space="preserve">P </t>
  </si>
  <si>
    <t>9.0</t>
  </si>
  <si>
    <t xml:space="preserve">K    </t>
  </si>
  <si>
    <t xml:space="preserve">L    </t>
  </si>
  <si>
    <t xml:space="preserve">M    </t>
  </si>
  <si>
    <t>HRD</t>
  </si>
  <si>
    <t xml:space="preserve">N    </t>
  </si>
  <si>
    <t xml:space="preserve">O    </t>
  </si>
  <si>
    <t xml:space="preserve">P    </t>
  </si>
  <si>
    <t xml:space="preserve">Q    </t>
  </si>
  <si>
    <t xml:space="preserve">S    </t>
  </si>
  <si>
    <t xml:space="preserve">TLB  </t>
  </si>
  <si>
    <t>FYELL</t>
  </si>
  <si>
    <t xml:space="preserve">B    </t>
  </si>
  <si>
    <t/>
  </si>
  <si>
    <t>VVS1</t>
  </si>
  <si>
    <t>VS1</t>
  </si>
  <si>
    <t>IF</t>
  </si>
  <si>
    <t>VVS2</t>
  </si>
  <si>
    <t>VS2</t>
  </si>
  <si>
    <t>SI1</t>
  </si>
  <si>
    <t>VVS</t>
  </si>
  <si>
    <t>SI2</t>
  </si>
  <si>
    <t>Cert.</t>
  </si>
  <si>
    <t>11.90</t>
  </si>
  <si>
    <t>8.50</t>
  </si>
  <si>
    <t>9</t>
  </si>
  <si>
    <t>6.62-</t>
  </si>
  <si>
    <t>.66-3</t>
  </si>
  <si>
    <t>3.86</t>
  </si>
  <si>
    <t>5.52-</t>
  </si>
  <si>
    <t>.56-3</t>
  </si>
  <si>
    <t>3.57</t>
  </si>
  <si>
    <t>8.28-</t>
  </si>
  <si>
    <t>.32-4</t>
  </si>
  <si>
    <t>4.91</t>
  </si>
  <si>
    <t xml:space="preserve">8.03 </t>
  </si>
  <si>
    <t xml:space="preserve">8.09 </t>
  </si>
  <si>
    <t>4.97</t>
  </si>
  <si>
    <t>6.59-</t>
  </si>
  <si>
    <t>.61-4</t>
  </si>
  <si>
    <t>4.00</t>
  </si>
  <si>
    <t>6.46-</t>
  </si>
  <si>
    <t>.51-3</t>
  </si>
  <si>
    <t>3.97</t>
  </si>
  <si>
    <t>6.23-</t>
  </si>
  <si>
    <t>.25-3</t>
  </si>
  <si>
    <t>3.92</t>
  </si>
  <si>
    <t>8.40-</t>
  </si>
  <si>
    <t>.43-5</t>
  </si>
  <si>
    <t>5.14</t>
  </si>
  <si>
    <t>6.41-</t>
  </si>
  <si>
    <t>.45-4</t>
  </si>
  <si>
    <t>4.05</t>
  </si>
  <si>
    <t xml:space="preserve">6.46 </t>
  </si>
  <si>
    <t xml:space="preserve">6.64 </t>
  </si>
  <si>
    <t>3.87</t>
  </si>
  <si>
    <t xml:space="preserve">7.55 </t>
  </si>
  <si>
    <t xml:space="preserve">7.64 </t>
  </si>
  <si>
    <t>4.41</t>
  </si>
  <si>
    <t>7.40-</t>
  </si>
  <si>
    <t>.49-4</t>
  </si>
  <si>
    <t>4.43</t>
  </si>
  <si>
    <t>6.51-</t>
  </si>
  <si>
    <t>3.93</t>
  </si>
  <si>
    <t>6.06-</t>
  </si>
  <si>
    <t>.11-4</t>
  </si>
  <si>
    <t>4.08</t>
  </si>
  <si>
    <t>6.12-</t>
  </si>
  <si>
    <t>.16-3</t>
  </si>
  <si>
    <t>6.15-</t>
  </si>
  <si>
    <t>.68-4</t>
  </si>
  <si>
    <t>4.10</t>
  </si>
  <si>
    <t>10.52</t>
  </si>
  <si>
    <t>0.58-</t>
  </si>
  <si>
    <t>6.31</t>
  </si>
  <si>
    <t xml:space="preserve">8.12 </t>
  </si>
  <si>
    <t xml:space="preserve">8.20 </t>
  </si>
  <si>
    <t>5.08</t>
  </si>
  <si>
    <t>6.73-</t>
  </si>
  <si>
    <t>.81-4</t>
  </si>
  <si>
    <t>4.04</t>
  </si>
  <si>
    <t>.34-4</t>
  </si>
  <si>
    <t>4.06</t>
  </si>
  <si>
    <t>5.26-</t>
  </si>
  <si>
    <t>.29-3</t>
  </si>
  <si>
    <t>3.17</t>
  </si>
  <si>
    <t xml:space="preserve">9.86 </t>
  </si>
  <si>
    <t xml:space="preserve">9.91 </t>
  </si>
  <si>
    <t>6.13</t>
  </si>
  <si>
    <t>9.86-</t>
  </si>
  <si>
    <t>.91-6</t>
  </si>
  <si>
    <t>6.14</t>
  </si>
  <si>
    <t>5.80-</t>
  </si>
  <si>
    <t>.81-3</t>
  </si>
  <si>
    <t>3.64</t>
  </si>
  <si>
    <t>5.04-</t>
  </si>
  <si>
    <t>.07-3</t>
  </si>
  <si>
    <t>3.14</t>
  </si>
  <si>
    <t>8.36-</t>
  </si>
  <si>
    <t>.39-4</t>
  </si>
  <si>
    <t>4.94</t>
  </si>
  <si>
    <t xml:space="preserve">7.45 </t>
  </si>
  <si>
    <t xml:space="preserve">7.48 </t>
  </si>
  <si>
    <t>4.57</t>
  </si>
  <si>
    <t>7.13-</t>
  </si>
  <si>
    <t>.16-4</t>
  </si>
  <si>
    <t>4.19</t>
  </si>
  <si>
    <t>8.07-</t>
  </si>
  <si>
    <t>.12-5</t>
  </si>
  <si>
    <t>5.02</t>
  </si>
  <si>
    <t>7.54-</t>
  </si>
  <si>
    <t>.56-4</t>
  </si>
  <si>
    <t>4.63</t>
  </si>
  <si>
    <t>7.27-</t>
  </si>
  <si>
    <t>.40-4</t>
  </si>
  <si>
    <t>4.56</t>
  </si>
  <si>
    <t>6.28-</t>
  </si>
  <si>
    <t>.31-3</t>
  </si>
  <si>
    <t>3.83</t>
  </si>
  <si>
    <t xml:space="preserve">9.48 </t>
  </si>
  <si>
    <t xml:space="preserve">9.49 </t>
  </si>
  <si>
    <t>5.59</t>
  </si>
  <si>
    <t>7.99-</t>
  </si>
  <si>
    <t>.08-5</t>
  </si>
  <si>
    <t>5.09</t>
  </si>
  <si>
    <t>11.25</t>
  </si>
  <si>
    <t>1.23-</t>
  </si>
  <si>
    <t>6.59</t>
  </si>
  <si>
    <t>7.83-</t>
  </si>
  <si>
    <t>.86-4</t>
  </si>
  <si>
    <t>6.69-</t>
  </si>
  <si>
    <t>.76-3</t>
  </si>
  <si>
    <t>3.99</t>
  </si>
  <si>
    <t>8.03-</t>
  </si>
  <si>
    <t>.04-4</t>
  </si>
  <si>
    <t>4.72</t>
  </si>
  <si>
    <t xml:space="preserve">7.77 </t>
  </si>
  <si>
    <t xml:space="preserve">7.78 </t>
  </si>
  <si>
    <t xml:space="preserve">7.20 </t>
  </si>
  <si>
    <t xml:space="preserve">7.15 </t>
  </si>
  <si>
    <t>7.07-</t>
  </si>
  <si>
    <t>.13-4</t>
  </si>
  <si>
    <t>4.59</t>
  </si>
  <si>
    <t>9.57-</t>
  </si>
  <si>
    <t>.79-5</t>
  </si>
  <si>
    <t>5.71</t>
  </si>
  <si>
    <t>9.29-</t>
  </si>
  <si>
    <t>.32-5</t>
  </si>
  <si>
    <t>5.72</t>
  </si>
  <si>
    <t>7.42-</t>
  </si>
  <si>
    <t>.44-4</t>
  </si>
  <si>
    <t>4.66</t>
  </si>
  <si>
    <t>10.51</t>
  </si>
  <si>
    <t>0.52-</t>
  </si>
  <si>
    <t>6.17</t>
  </si>
  <si>
    <t>6.93-</t>
  </si>
  <si>
    <t>.01-4</t>
  </si>
  <si>
    <t>4.18</t>
  </si>
  <si>
    <t>6.45-</t>
  </si>
  <si>
    <t>.50-3</t>
  </si>
  <si>
    <t>3.95</t>
  </si>
  <si>
    <t>11.41</t>
  </si>
  <si>
    <t>1.44-</t>
  </si>
  <si>
    <t>6.52</t>
  </si>
  <si>
    <t>2-9.3</t>
  </si>
  <si>
    <t>.38-5</t>
  </si>
  <si>
    <t>5.58</t>
  </si>
  <si>
    <t xml:space="preserve">8.36 </t>
  </si>
  <si>
    <t xml:space="preserve">8.43 </t>
  </si>
  <si>
    <t>4.88</t>
  </si>
  <si>
    <t>7.17-</t>
  </si>
  <si>
    <t>.22-4</t>
  </si>
  <si>
    <t>4.28</t>
  </si>
  <si>
    <t>10.47</t>
  </si>
  <si>
    <t>0.51-</t>
  </si>
  <si>
    <t>6.34</t>
  </si>
  <si>
    <t>8.31-</t>
  </si>
  <si>
    <t>.33-5</t>
  </si>
  <si>
    <t>5.04</t>
  </si>
  <si>
    <t>9.27-</t>
  </si>
  <si>
    <t>10.28</t>
  </si>
  <si>
    <t>0.30-</t>
  </si>
  <si>
    <t>6.25</t>
  </si>
  <si>
    <t>6.89-</t>
  </si>
  <si>
    <t>.97-4</t>
  </si>
  <si>
    <t>4.20</t>
  </si>
  <si>
    <t>4.30</t>
  </si>
  <si>
    <t>9.23-</t>
  </si>
  <si>
    <t>.37-5</t>
  </si>
  <si>
    <t>6.87-</t>
  </si>
  <si>
    <t>.90-3</t>
  </si>
  <si>
    <t>10.38</t>
  </si>
  <si>
    <t>0.41-</t>
  </si>
  <si>
    <t>7.44-</t>
  </si>
  <si>
    <t>.46-4</t>
  </si>
  <si>
    <t>6.91-</t>
  </si>
  <si>
    <t>.02-4</t>
  </si>
  <si>
    <t>6.98-</t>
  </si>
  <si>
    <t>.02</t>
  </si>
  <si>
    <t>7.02</t>
  </si>
  <si>
    <t>1.90</t>
  </si>
  <si>
    <t>9.24-</t>
  </si>
  <si>
    <t>.34-5</t>
  </si>
  <si>
    <t>5.28</t>
  </si>
  <si>
    <t>10.44</t>
  </si>
  <si>
    <t>0.57</t>
  </si>
  <si>
    <t xml:space="preserve">5.64 </t>
  </si>
  <si>
    <t xml:space="preserve">5.20 </t>
  </si>
  <si>
    <t>3.82</t>
  </si>
  <si>
    <t>7.92-</t>
  </si>
  <si>
    <t>.90-5</t>
  </si>
  <si>
    <t>5.37</t>
  </si>
  <si>
    <t>5.51-</t>
  </si>
  <si>
    <t>.47-3</t>
  </si>
  <si>
    <t>3.81</t>
  </si>
  <si>
    <t>5.54-</t>
  </si>
  <si>
    <t>.19-3</t>
  </si>
  <si>
    <t>3.68</t>
  </si>
  <si>
    <t>5.14-</t>
  </si>
  <si>
    <t>.02-3</t>
  </si>
  <si>
    <t>3.48</t>
  </si>
  <si>
    <t>5.38-</t>
  </si>
  <si>
    <t>3.66</t>
  </si>
  <si>
    <t>5.45-</t>
  </si>
  <si>
    <t>.44-3</t>
  </si>
  <si>
    <t>3.70</t>
  </si>
  <si>
    <t>6.27-</t>
  </si>
  <si>
    <t>.74-3</t>
  </si>
  <si>
    <t>3.36</t>
  </si>
  <si>
    <t xml:space="preserve">5.42 </t>
  </si>
  <si>
    <t xml:space="preserve">5.40 </t>
  </si>
  <si>
    <t xml:space="preserve">5.57 </t>
  </si>
  <si>
    <t xml:space="preserve">5.27 </t>
  </si>
  <si>
    <t>3.72</t>
  </si>
  <si>
    <t>9.56-</t>
  </si>
  <si>
    <t>.84-4</t>
  </si>
  <si>
    <t>5.21</t>
  </si>
  <si>
    <t>.13-3</t>
  </si>
  <si>
    <t>3.11</t>
  </si>
  <si>
    <t>9.91-</t>
  </si>
  <si>
    <t>1.06-</t>
  </si>
  <si>
    <t>7.30</t>
  </si>
  <si>
    <t>10.32</t>
  </si>
  <si>
    <t xml:space="preserve">5.34 </t>
  </si>
  <si>
    <t>3.53</t>
  </si>
  <si>
    <t>18.20</t>
  </si>
  <si>
    <t>.59-5</t>
  </si>
  <si>
    <t>5.49</t>
  </si>
  <si>
    <t>8.48-</t>
  </si>
  <si>
    <t>.39-2</t>
  </si>
  <si>
    <t>2.96</t>
  </si>
  <si>
    <t>11.24</t>
  </si>
  <si>
    <t>.21-3</t>
  </si>
  <si>
    <t>3.88</t>
  </si>
  <si>
    <t>10.79</t>
  </si>
  <si>
    <t>.15-3</t>
  </si>
  <si>
    <t>9.66-</t>
  </si>
  <si>
    <t>.12-4</t>
  </si>
  <si>
    <t>4.61</t>
  </si>
  <si>
    <t>12.92</t>
  </si>
  <si>
    <t>.13-7</t>
  </si>
  <si>
    <t>7.82</t>
  </si>
  <si>
    <t>7.93-</t>
  </si>
  <si>
    <t>.89-3</t>
  </si>
  <si>
    <t>3.96</t>
  </si>
  <si>
    <t>10.76</t>
  </si>
  <si>
    <t>.95-4</t>
  </si>
  <si>
    <t>4.60</t>
  </si>
  <si>
    <t xml:space="preserve">5.53 </t>
  </si>
  <si>
    <t xml:space="preserve">6.48 </t>
  </si>
  <si>
    <t xml:space="preserve">6.63 </t>
  </si>
  <si>
    <t>7.983</t>
  </si>
  <si>
    <t xml:space="preserve">7.71 </t>
  </si>
  <si>
    <t>5.89</t>
  </si>
  <si>
    <t>6.36-</t>
  </si>
  <si>
    <t>.17-4</t>
  </si>
  <si>
    <t>4.52</t>
  </si>
  <si>
    <t>7.58-</t>
  </si>
  <si>
    <t>.94-5</t>
  </si>
  <si>
    <t>5.29</t>
  </si>
  <si>
    <t>6.00-</t>
  </si>
  <si>
    <t>.58-4</t>
  </si>
  <si>
    <t>11.91</t>
  </si>
  <si>
    <t>.91-5</t>
  </si>
  <si>
    <t>5.52</t>
  </si>
  <si>
    <t xml:space="preserve">9.43 </t>
  </si>
  <si>
    <t xml:space="preserve">5.67 </t>
  </si>
  <si>
    <t>3.27</t>
  </si>
  <si>
    <t>.15-4</t>
  </si>
  <si>
    <t>4.76</t>
  </si>
  <si>
    <t>11.26</t>
  </si>
  <si>
    <t>.21-4</t>
  </si>
  <si>
    <t xml:space="preserve">8.26 </t>
  </si>
  <si>
    <t xml:space="preserve">7.14 </t>
  </si>
  <si>
    <t>6.26</t>
  </si>
  <si>
    <t xml:space="preserve">5.81 </t>
  </si>
  <si>
    <t xml:space="preserve">5.23 </t>
  </si>
  <si>
    <t>7.66-</t>
  </si>
  <si>
    <t xml:space="preserve">7.33 </t>
  </si>
  <si>
    <t xml:space="preserve">7.38 </t>
  </si>
  <si>
    <t xml:space="preserve">9.51 </t>
  </si>
  <si>
    <t xml:space="preserve">9.64 </t>
  </si>
  <si>
    <t>9.42-</t>
  </si>
  <si>
    <t>.48-5</t>
  </si>
  <si>
    <t>.65-</t>
  </si>
  <si>
    <t>10.88</t>
  </si>
  <si>
    <t>0.91-</t>
  </si>
  <si>
    <t>6.82</t>
  </si>
  <si>
    <t>8.93-</t>
  </si>
  <si>
    <t>.89-5</t>
  </si>
  <si>
    <t>5.95</t>
  </si>
  <si>
    <t>.92-5</t>
  </si>
  <si>
    <t>.69-4</t>
  </si>
  <si>
    <t>4.31</t>
  </si>
  <si>
    <t>Dia.Min</t>
  </si>
  <si>
    <t>Dia.Max</t>
  </si>
  <si>
    <t>Height</t>
  </si>
  <si>
    <t>ROUNDS (0.50 - 0.59)</t>
  </si>
  <si>
    <t>ROUNDS (0.70 - 0.89)</t>
  </si>
  <si>
    <t>ROUNDS (0.90 - 0.99)</t>
  </si>
  <si>
    <t>ROUNDS (1.00 - 1.49)</t>
  </si>
  <si>
    <t>ROUNDS (1.50 - 1.99)</t>
  </si>
  <si>
    <t>ROUNDS (2.00 - 2.99)</t>
  </si>
  <si>
    <t>ROUNDS (3.00 - 3.99)</t>
  </si>
  <si>
    <t>ROUNDS (4.00 - 4.99)</t>
  </si>
  <si>
    <t>ROUNDS (5.00 - 5.99)</t>
  </si>
  <si>
    <t>CUSHION (0.70 - 0.89)</t>
  </si>
  <si>
    <t>CUSHION (0.90 - 0.99)</t>
  </si>
  <si>
    <t>CUSHION (1.00 - 1.49)</t>
  </si>
  <si>
    <t>CUSHION (3.00 - 3.99)</t>
  </si>
  <si>
    <t>EMERALDS (1.00 - 1.49)</t>
  </si>
  <si>
    <t>EMERALDS (3.00 - 3.99)</t>
  </si>
  <si>
    <t>EMERALDS (4.00 - 4.99)</t>
  </si>
  <si>
    <t>HEART (0.90 - 0.99)</t>
  </si>
  <si>
    <t>HEART (5.00 - 5.99)</t>
  </si>
  <si>
    <t>MARQUISE (0.60 - 0.69)</t>
  </si>
  <si>
    <t>MARQUISE (1.00 - 1.49)</t>
  </si>
  <si>
    <t>MARQUISE (1.50 - 1.99)</t>
  </si>
  <si>
    <t>MARQUISE (5.00 - 5.99)</t>
  </si>
  <si>
    <t>OVALS (1.00 - 1.49)</t>
  </si>
  <si>
    <t>OVALS (2.00 - 2.99)</t>
  </si>
  <si>
    <t>OVALS (7.00 - 9.99)</t>
  </si>
  <si>
    <t>PEARS (1.00 - 1.49)</t>
  </si>
  <si>
    <t>PEARS (1.50 - 1.99)</t>
  </si>
  <si>
    <t>PEARS (2.00 - 2.99)</t>
  </si>
  <si>
    <t>PEARS (3.00 - 3.99)</t>
  </si>
  <si>
    <t>PRINCESS (1.00 - 1.49)</t>
  </si>
  <si>
    <t>PRINCESS (1.50 - 1.99)</t>
  </si>
  <si>
    <t>PRINCESS (2.00 - 2.99)</t>
  </si>
  <si>
    <t>PRINCESS (3.00 - 3.99)</t>
  </si>
  <si>
    <t>RADIANT (1.00 - 1.49)</t>
  </si>
  <si>
    <t>RADIANT (3.00 - 3.99)</t>
  </si>
  <si>
    <t>OLD MINER (2.00 - 2.99)</t>
  </si>
  <si>
    <t>Carats</t>
  </si>
  <si>
    <t>Color</t>
  </si>
  <si>
    <t>Clarity</t>
  </si>
  <si>
    <t>Pro.</t>
  </si>
  <si>
    <t>Pol.</t>
  </si>
  <si>
    <t>Symmetry</t>
  </si>
  <si>
    <t>Fluo.</t>
  </si>
  <si>
    <t>Table</t>
  </si>
  <si>
    <t>Crown</t>
  </si>
  <si>
    <t>Pav.</t>
  </si>
  <si>
    <t>rap %</t>
  </si>
  <si>
    <t>net/ct</t>
  </si>
  <si>
    <t>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</si>
</sst>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#,##0.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4"/>
      <name val="Arial"/>
      <family val="2"/>
    </font>
    <font>
      <b/>
      <u/>
      <sz val="10"/>
      <color theme="7"/>
      <name val="Arial"/>
      <family val="2"/>
    </font>
    <font>
      <b/>
      <u/>
      <sz val="10"/>
      <color theme="9"/>
      <name val="Arial"/>
      <family val="2"/>
    </font>
    <font>
      <b/>
      <sz val="10"/>
      <color theme="7"/>
      <name val="Arial"/>
      <family val="2"/>
    </font>
    <font>
      <b/>
      <sz val="10"/>
      <color theme="1"/>
      <name val="Arial"/>
      <family val="2"/>
    </font>
    <font>
      <b/>
      <i/>
      <sz val="12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1" applyNumberFormat="1" applyFont="1"/>
    <xf numFmtId="0" fontId="4" fillId="0" borderId="0" xfId="1" applyNumberFormat="1" applyFont="1"/>
    <xf numFmtId="0" fontId="5" fillId="0" borderId="0" xfId="1" applyNumberFormat="1" applyFont="1"/>
    <xf numFmtId="0" fontId="6" fillId="0" borderId="0" xfId="0" applyFont="1"/>
    <xf numFmtId="165" fontId="7" fillId="0" borderId="0" xfId="0" applyNumberFormat="1" applyFont="1"/>
    <xf numFmtId="0" fontId="7" fillId="0" borderId="0" xfId="0" applyFont="1"/>
    <xf numFmtId="166" fontId="7" fillId="0" borderId="0" xfId="0" applyNumberFormat="1" applyFont="1"/>
    <xf numFmtId="1" fontId="7" fillId="0" borderId="0" xfId="0" applyNumberFormat="1" applyFont="1"/>
    <xf numFmtId="0" fontId="8" fillId="0" borderId="0" xfId="0" applyFont="1"/>
    <xf numFmtId="165" fontId="8" fillId="0" borderId="0" xfId="0" applyNumberFormat="1" applyFont="1"/>
    <xf numFmtId="49" fontId="8" fillId="0" borderId="0" xfId="0" applyNumberFormat="1" applyFont="1"/>
    <xf numFmtId="2" fontId="8" fillId="0" borderId="0" xfId="0" applyNumberFormat="1" applyFont="1" applyAlignment="1">
      <alignment horizontal="center"/>
    </xf>
    <xf numFmtId="1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/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266E-543C-408B-B14D-8BF02728178D}">
  <dimension ref="B2:V1151"/>
  <sheetViews>
    <sheetView tabSelected="1" workbookViewId="0">
      <pane ySplit="2" topLeftCell="A78" activePane="bottomLeft" state="frozen"/>
      <selection pane="bottomLeft" activeCell="M28" sqref="M28"/>
    </sheetView>
  </sheetViews>
  <sheetFormatPr baseColWidth="10" defaultRowHeight="12.75" x14ac:dyDescent="0.2"/>
  <cols>
    <col min="1" max="1" width="11.42578125" style="1"/>
    <col min="2" max="2" width="7.28515625" style="1" bestFit="1" customWidth="1"/>
    <col min="3" max="3" width="22.140625" style="7" bestFit="1" customWidth="1"/>
    <col min="4" max="4" width="8.140625" style="2" bestFit="1" customWidth="1"/>
    <col min="5" max="5" width="9.140625" style="2" bestFit="1" customWidth="1"/>
    <col min="6" max="6" width="6.5703125" style="2" bestFit="1" customWidth="1"/>
    <col min="7" max="7" width="6.28515625" style="2" bestFit="1" customWidth="1"/>
    <col min="8" max="8" width="13.140625" style="2" bestFit="1" customWidth="1"/>
    <col min="9" max="9" width="7.5703125" style="2" bestFit="1" customWidth="1"/>
    <col min="10" max="10" width="8.140625" style="2" bestFit="1" customWidth="1"/>
    <col min="11" max="11" width="9.42578125" style="2" bestFit="1" customWidth="1"/>
    <col min="12" max="12" width="6.85546875" style="2" bestFit="1" customWidth="1"/>
    <col min="13" max="13" width="10.28515625" style="2" bestFit="1" customWidth="1"/>
    <col min="14" max="14" width="10.85546875" style="2" bestFit="1" customWidth="1"/>
    <col min="15" max="15" width="9.140625" style="2" bestFit="1" customWidth="1"/>
    <col min="16" max="16" width="8.140625" style="9" bestFit="1" customWidth="1"/>
    <col min="17" max="17" width="8" style="16" bestFit="1" customWidth="1"/>
    <col min="18" max="18" width="6" style="10" bestFit="1" customWidth="1"/>
    <col min="19" max="21" width="11.42578125" style="1"/>
    <col min="22" max="22" width="11.42578125" style="2"/>
    <col min="23" max="16384" width="11.42578125" style="1"/>
  </cols>
  <sheetData>
    <row r="2" spans="2:18" ht="15" x14ac:dyDescent="0.2">
      <c r="B2" s="11" t="s">
        <v>47</v>
      </c>
      <c r="C2" s="12" t="s">
        <v>378</v>
      </c>
      <c r="D2" s="13" t="s">
        <v>379</v>
      </c>
      <c r="E2" s="13" t="s">
        <v>380</v>
      </c>
      <c r="F2" s="13" t="s">
        <v>381</v>
      </c>
      <c r="G2" s="13" t="s">
        <v>382</v>
      </c>
      <c r="H2" s="13" t="s">
        <v>383</v>
      </c>
      <c r="I2" s="13" t="s">
        <v>384</v>
      </c>
      <c r="J2" s="13" t="s">
        <v>385</v>
      </c>
      <c r="K2" s="13" t="s">
        <v>386</v>
      </c>
      <c r="L2" s="13" t="s">
        <v>387</v>
      </c>
      <c r="M2" s="13" t="s">
        <v>339</v>
      </c>
      <c r="N2" s="13" t="s">
        <v>340</v>
      </c>
      <c r="O2" s="13" t="s">
        <v>341</v>
      </c>
      <c r="P2" s="14" t="s">
        <v>388</v>
      </c>
      <c r="Q2" s="17" t="s">
        <v>389</v>
      </c>
      <c r="R2" s="15" t="s">
        <v>390</v>
      </c>
    </row>
    <row r="3" spans="2:18" x14ac:dyDescent="0.2">
      <c r="C3" s="18" t="s">
        <v>350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8"/>
      <c r="Q3" s="20"/>
      <c r="R3" s="18"/>
    </row>
    <row r="4" spans="2:18" x14ac:dyDescent="0.2">
      <c r="B4" s="3" t="str">
        <f>HYPERLINK("http://www.GIA.edu/cs/Satellite?pagename=GST%2FDispatcher&amp;childpagename=GIA%2FPage%2FReportCheck&amp;c=Page&amp;cid=1355954554547&amp;reportno=2233526369","GIA")</f>
        <v>GIA</v>
      </c>
      <c r="C4" s="21">
        <v>5.0199999999999996</v>
      </c>
      <c r="D4" s="22" t="s">
        <v>19</v>
      </c>
      <c r="E4" s="22" t="s">
        <v>43</v>
      </c>
      <c r="F4" s="22" t="s">
        <v>4</v>
      </c>
      <c r="G4" s="22" t="s">
        <v>6</v>
      </c>
      <c r="H4" s="22" t="s">
        <v>6</v>
      </c>
      <c r="I4" s="22" t="s">
        <v>7</v>
      </c>
      <c r="J4" s="22">
        <v>62</v>
      </c>
      <c r="K4" s="22">
        <v>12</v>
      </c>
      <c r="L4" s="22">
        <v>0</v>
      </c>
      <c r="M4" s="22" t="s">
        <v>150</v>
      </c>
      <c r="N4" s="22" t="s">
        <v>151</v>
      </c>
      <c r="O4" s="22" t="s">
        <v>152</v>
      </c>
      <c r="P4" s="23">
        <v>-50</v>
      </c>
      <c r="Q4" s="24">
        <v>16250</v>
      </c>
      <c r="R4" s="25">
        <v>32500</v>
      </c>
    </row>
    <row r="5" spans="2:18" x14ac:dyDescent="0.2">
      <c r="B5" s="4" t="str">
        <f>HYPERLINK("https://My.HRDantwerp.com/?report=220000031153","HRD")</f>
        <v>HRD</v>
      </c>
      <c r="C5" s="21">
        <v>5.07</v>
      </c>
      <c r="D5" s="22" t="s">
        <v>23</v>
      </c>
      <c r="E5" s="22" t="s">
        <v>43</v>
      </c>
      <c r="F5" s="22" t="s">
        <v>4</v>
      </c>
      <c r="G5" s="22" t="s">
        <v>6</v>
      </c>
      <c r="H5" s="22" t="s">
        <v>6</v>
      </c>
      <c r="I5" s="22" t="s">
        <v>5</v>
      </c>
      <c r="J5" s="22">
        <v>63</v>
      </c>
      <c r="K5" s="22">
        <v>0</v>
      </c>
      <c r="L5" s="22">
        <v>0</v>
      </c>
      <c r="M5" s="22" t="s">
        <v>186</v>
      </c>
      <c r="N5" s="22" t="s">
        <v>187</v>
      </c>
      <c r="O5" s="22" t="s">
        <v>188</v>
      </c>
      <c r="P5" s="23">
        <v>-65</v>
      </c>
      <c r="Q5" s="24">
        <v>7175</v>
      </c>
      <c r="R5" s="25">
        <v>20500</v>
      </c>
    </row>
    <row r="6" spans="2:18" x14ac:dyDescent="0.2">
      <c r="B6" s="3" t="str">
        <f>HYPERLINK("http://www.GIA.edu/cs/Satellite?pagename=GST%2FDispatcher&amp;childpagename=GIA%2FPage%2FReportCheck&amp;c=Page&amp;cid=1355954554547&amp;reportno=6234398852","GIA")</f>
        <v>GIA</v>
      </c>
      <c r="C6" s="21">
        <v>5.0199999999999996</v>
      </c>
      <c r="D6" s="22" t="s">
        <v>26</v>
      </c>
      <c r="E6" s="22" t="s">
        <v>46</v>
      </c>
      <c r="F6" s="22" t="s">
        <v>4</v>
      </c>
      <c r="G6" s="22" t="s">
        <v>6</v>
      </c>
      <c r="H6" s="22" t="s">
        <v>6</v>
      </c>
      <c r="I6" s="22" t="s">
        <v>7</v>
      </c>
      <c r="J6" s="22">
        <v>57</v>
      </c>
      <c r="K6" s="22">
        <v>15</v>
      </c>
      <c r="L6" s="22">
        <v>0</v>
      </c>
      <c r="M6" s="22" t="s">
        <v>330</v>
      </c>
      <c r="N6" s="22" t="s">
        <v>331</v>
      </c>
      <c r="O6" s="22" t="s">
        <v>332</v>
      </c>
      <c r="P6" s="23">
        <v>-50</v>
      </c>
      <c r="Q6" s="24">
        <v>7500</v>
      </c>
      <c r="R6" s="25">
        <v>15000</v>
      </c>
    </row>
    <row r="7" spans="2:18" x14ac:dyDescent="0.2">
      <c r="B7" s="1" t="s">
        <v>0</v>
      </c>
      <c r="C7" s="21">
        <v>5.73</v>
      </c>
      <c r="D7" s="22" t="s">
        <v>30</v>
      </c>
      <c r="E7" s="22" t="s">
        <v>45</v>
      </c>
      <c r="F7" s="22" t="s">
        <v>1</v>
      </c>
      <c r="G7" s="22" t="s">
        <v>1</v>
      </c>
      <c r="H7" s="22" t="s">
        <v>1</v>
      </c>
      <c r="I7" s="22" t="s">
        <v>0</v>
      </c>
      <c r="J7" s="22">
        <v>0</v>
      </c>
      <c r="K7" s="22">
        <v>0</v>
      </c>
      <c r="L7" s="22">
        <v>0</v>
      </c>
      <c r="M7" s="22" t="s">
        <v>38</v>
      </c>
      <c r="N7" s="22" t="s">
        <v>38</v>
      </c>
      <c r="O7" s="22" t="s">
        <v>38</v>
      </c>
      <c r="P7" s="23" t="s">
        <v>38</v>
      </c>
      <c r="Q7" s="24">
        <v>5100</v>
      </c>
      <c r="R7" s="25" t="s">
        <v>38</v>
      </c>
    </row>
    <row r="8" spans="2:18" x14ac:dyDescent="0.2">
      <c r="B8" s="1" t="s">
        <v>0</v>
      </c>
      <c r="C8" s="21">
        <v>5.13</v>
      </c>
      <c r="D8" s="22" t="s">
        <v>31</v>
      </c>
      <c r="E8" s="22" t="s">
        <v>43</v>
      </c>
      <c r="F8" s="22" t="s">
        <v>1</v>
      </c>
      <c r="G8" s="22" t="s">
        <v>1</v>
      </c>
      <c r="H8" s="22" t="s">
        <v>1</v>
      </c>
      <c r="I8" s="22" t="s">
        <v>0</v>
      </c>
      <c r="J8" s="22">
        <v>0</v>
      </c>
      <c r="K8" s="22">
        <v>0</v>
      </c>
      <c r="L8" s="22">
        <v>0</v>
      </c>
      <c r="M8" s="22" t="s">
        <v>48</v>
      </c>
      <c r="N8" s="22" t="e">
        <v>#VALUE!</v>
      </c>
      <c r="O8" s="22" t="s">
        <v>225</v>
      </c>
      <c r="P8" s="23" t="s">
        <v>38</v>
      </c>
      <c r="Q8" s="24">
        <v>4300</v>
      </c>
      <c r="R8" s="25" t="s">
        <v>38</v>
      </c>
    </row>
    <row r="9" spans="2:18" x14ac:dyDescent="0.2">
      <c r="B9" s="3"/>
      <c r="C9" s="26" t="s">
        <v>349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"/>
      <c r="Q9" s="20"/>
      <c r="R9" s="26"/>
    </row>
    <row r="10" spans="2:18" x14ac:dyDescent="0.2">
      <c r="B10" s="4" t="str">
        <f>HYPERLINK("https://My.HRDantwerp.com/?report=220000112049","HRD")</f>
        <v>HRD</v>
      </c>
      <c r="C10" s="21">
        <v>4.28</v>
      </c>
      <c r="D10" s="22" t="s">
        <v>18</v>
      </c>
      <c r="E10" s="22" t="s">
        <v>41</v>
      </c>
      <c r="F10" s="22" t="s">
        <v>6</v>
      </c>
      <c r="G10" s="22" t="s">
        <v>6</v>
      </c>
      <c r="H10" s="22" t="s">
        <v>6</v>
      </c>
      <c r="I10" s="22" t="s">
        <v>5</v>
      </c>
      <c r="J10" s="22">
        <v>62</v>
      </c>
      <c r="K10" s="22">
        <v>13</v>
      </c>
      <c r="L10" s="22">
        <v>44</v>
      </c>
      <c r="M10" s="22" t="s">
        <v>97</v>
      </c>
      <c r="N10" s="22" t="s">
        <v>98</v>
      </c>
      <c r="O10" s="22" t="s">
        <v>99</v>
      </c>
      <c r="P10" s="23">
        <v>-50</v>
      </c>
      <c r="Q10" s="24">
        <v>23250</v>
      </c>
      <c r="R10" s="25">
        <v>46500</v>
      </c>
    </row>
    <row r="11" spans="2:18" x14ac:dyDescent="0.2">
      <c r="B11" s="3" t="str">
        <f>HYPERLINK("http://www.GIA.edu/cs/Satellite?pagename=GST%2FDispatcher&amp;childpagename=GIA%2FPage%2FReportCheck&amp;c=Page&amp;cid=1355954554547&amp;reportno=6234162466","GIA")</f>
        <v>GIA</v>
      </c>
      <c r="C11" s="21">
        <v>4.0199999999999996</v>
      </c>
      <c r="D11" s="22" t="s">
        <v>20</v>
      </c>
      <c r="E11" s="22" t="s">
        <v>40</v>
      </c>
      <c r="F11" s="22" t="s">
        <v>1</v>
      </c>
      <c r="G11" s="22" t="s">
        <v>1</v>
      </c>
      <c r="H11" s="22" t="s">
        <v>1</v>
      </c>
      <c r="I11" s="22" t="s">
        <v>7</v>
      </c>
      <c r="J11" s="22">
        <v>0</v>
      </c>
      <c r="K11" s="22">
        <v>0</v>
      </c>
      <c r="L11" s="22">
        <v>0</v>
      </c>
      <c r="M11" s="22" t="s">
        <v>38</v>
      </c>
      <c r="N11" s="22" t="s">
        <v>38</v>
      </c>
      <c r="O11" s="22" t="s">
        <v>38</v>
      </c>
      <c r="P11" s="23">
        <v>-50</v>
      </c>
      <c r="Q11" s="24">
        <v>11500</v>
      </c>
      <c r="R11" s="25">
        <v>23000</v>
      </c>
    </row>
    <row r="12" spans="2:18" x14ac:dyDescent="0.2">
      <c r="B12" s="3" t="str">
        <f>HYPERLINK("http://www.GIA.edu/cs/Satellite?pagename=GST%2FDispatcher&amp;childpagename=GIA%2FPage%2FReportCheck&amp;c=Page&amp;cid=1355954554547&amp;reportno=5231314750","GIA")</f>
        <v>GIA</v>
      </c>
      <c r="C12" s="21">
        <v>4.08</v>
      </c>
      <c r="D12" s="22" t="s">
        <v>23</v>
      </c>
      <c r="E12" s="22" t="s">
        <v>39</v>
      </c>
      <c r="F12" s="22" t="s">
        <v>6</v>
      </c>
      <c r="G12" s="22" t="s">
        <v>6</v>
      </c>
      <c r="H12" s="22" t="s">
        <v>6</v>
      </c>
      <c r="I12" s="22" t="s">
        <v>7</v>
      </c>
      <c r="J12" s="22">
        <v>59</v>
      </c>
      <c r="K12" s="22">
        <v>12.5</v>
      </c>
      <c r="L12" s="22">
        <v>0</v>
      </c>
      <c r="M12" s="22" t="s">
        <v>177</v>
      </c>
      <c r="N12" s="22" t="s">
        <v>178</v>
      </c>
      <c r="O12" s="22" t="s">
        <v>179</v>
      </c>
      <c r="P12" s="23">
        <v>-40</v>
      </c>
      <c r="Q12" s="24">
        <v>12600</v>
      </c>
      <c r="R12" s="25">
        <v>21000</v>
      </c>
    </row>
    <row r="13" spans="2:18" x14ac:dyDescent="0.2">
      <c r="B13" s="3" t="str">
        <f>HYPERLINK("http://www.GIA.edu/cs/Satellite?pagename=GST%2FDispatcher&amp;childpagename=GIA%2FPage%2FReportCheck&amp;c=Page&amp;cid=1355954554547&amp;reportno=1236314755","GIA")</f>
        <v>GIA</v>
      </c>
      <c r="C13" s="21">
        <v>4.1900000000000004</v>
      </c>
      <c r="D13" s="22" t="s">
        <v>26</v>
      </c>
      <c r="E13" s="22" t="s">
        <v>42</v>
      </c>
      <c r="F13" s="22" t="s">
        <v>6</v>
      </c>
      <c r="G13" s="22" t="s">
        <v>6</v>
      </c>
      <c r="H13" s="22" t="s">
        <v>6</v>
      </c>
      <c r="I13" s="22" t="s">
        <v>7</v>
      </c>
      <c r="J13" s="22">
        <v>60</v>
      </c>
      <c r="K13" s="22">
        <v>0</v>
      </c>
      <c r="L13" s="22">
        <v>0</v>
      </c>
      <c r="M13" s="22" t="s">
        <v>198</v>
      </c>
      <c r="N13" s="22" t="s">
        <v>199</v>
      </c>
      <c r="O13" s="22" t="s">
        <v>200</v>
      </c>
      <c r="P13" s="23">
        <v>-40</v>
      </c>
      <c r="Q13" s="24">
        <v>9600</v>
      </c>
      <c r="R13" s="25">
        <v>16000</v>
      </c>
    </row>
    <row r="14" spans="2:18" x14ac:dyDescent="0.2">
      <c r="B14" s="4" t="str">
        <f>HYPERLINK("https://My.HRDantwerp.com/?report=220000087305","HRD")</f>
        <v>HRD</v>
      </c>
      <c r="C14" s="21">
        <v>4.0199999999999996</v>
      </c>
      <c r="D14" s="22" t="s">
        <v>27</v>
      </c>
      <c r="E14" s="22" t="s">
        <v>39</v>
      </c>
      <c r="F14" s="22" t="s">
        <v>4</v>
      </c>
      <c r="G14" s="22" t="s">
        <v>6</v>
      </c>
      <c r="H14" s="22" t="s">
        <v>6</v>
      </c>
      <c r="I14" s="22" t="s">
        <v>9</v>
      </c>
      <c r="J14" s="22">
        <v>53</v>
      </c>
      <c r="K14" s="22">
        <v>0</v>
      </c>
      <c r="L14" s="22">
        <v>0</v>
      </c>
      <c r="M14" s="22" t="s">
        <v>205</v>
      </c>
      <c r="N14" s="22" t="s">
        <v>206</v>
      </c>
      <c r="O14" s="22" t="s">
        <v>207</v>
      </c>
      <c r="P14" s="23">
        <v>-53.39</v>
      </c>
      <c r="Q14" s="24">
        <v>6525</v>
      </c>
      <c r="R14" s="25">
        <v>13999.141815061144</v>
      </c>
    </row>
    <row r="15" spans="2:18" x14ac:dyDescent="0.2">
      <c r="B15" s="4" t="str">
        <f>HYPERLINK("https://My.HRDantwerp.com/?report=220000114391","HRD")</f>
        <v>HRD</v>
      </c>
      <c r="C15" s="21">
        <v>4.03</v>
      </c>
      <c r="D15" s="22" t="s">
        <v>27</v>
      </c>
      <c r="E15" s="22" t="s">
        <v>43</v>
      </c>
      <c r="F15" s="22" t="s">
        <v>4</v>
      </c>
      <c r="G15" s="22" t="s">
        <v>4</v>
      </c>
      <c r="H15" s="22" t="s">
        <v>6</v>
      </c>
      <c r="I15" s="22" t="s">
        <v>5</v>
      </c>
      <c r="J15" s="22">
        <v>62</v>
      </c>
      <c r="K15" s="22">
        <v>11</v>
      </c>
      <c r="L15" s="22">
        <v>0</v>
      </c>
      <c r="M15" s="22" t="s">
        <v>216</v>
      </c>
      <c r="N15" s="22" t="s">
        <v>217</v>
      </c>
      <c r="O15" s="22" t="s">
        <v>179</v>
      </c>
      <c r="P15" s="23">
        <v>-55</v>
      </c>
      <c r="Q15" s="24">
        <v>5175</v>
      </c>
      <c r="R15" s="25">
        <v>11500</v>
      </c>
    </row>
    <row r="16" spans="2:18" x14ac:dyDescent="0.2">
      <c r="B16" s="3" t="str">
        <f>HYPERLINK("http://www.GIA.edu/cs/Satellite?pagename=GST%2FDispatcher&amp;childpagename=GIA%2FPage%2FReportCheck&amp;c=Page&amp;cid=1355954554547&amp;reportno=5161772179","GIA")</f>
        <v>GIA</v>
      </c>
      <c r="C16" s="21">
        <v>4.17</v>
      </c>
      <c r="D16" s="22" t="s">
        <v>34</v>
      </c>
      <c r="E16" s="22" t="s">
        <v>43</v>
      </c>
      <c r="F16" s="22" t="s">
        <v>3</v>
      </c>
      <c r="G16" s="22" t="s">
        <v>3</v>
      </c>
      <c r="H16" s="22" t="s">
        <v>3</v>
      </c>
      <c r="I16" s="22" t="s">
        <v>7</v>
      </c>
      <c r="J16" s="22">
        <v>0</v>
      </c>
      <c r="K16" s="22">
        <v>0</v>
      </c>
      <c r="L16" s="22">
        <v>0</v>
      </c>
      <c r="M16" s="22" t="s">
        <v>229</v>
      </c>
      <c r="N16" s="22" t="s">
        <v>230</v>
      </c>
      <c r="O16" s="22" t="s">
        <v>230</v>
      </c>
      <c r="P16" s="23" t="s">
        <v>38</v>
      </c>
      <c r="Q16" s="24">
        <v>3200</v>
      </c>
      <c r="R16" s="25" t="s">
        <v>38</v>
      </c>
    </row>
    <row r="17" spans="2:18" x14ac:dyDescent="0.2">
      <c r="B17" s="1" t="s">
        <v>0</v>
      </c>
      <c r="C17" s="21">
        <v>4.5599999999999996</v>
      </c>
      <c r="D17" s="22" t="s">
        <v>35</v>
      </c>
      <c r="E17" s="22" t="s">
        <v>45</v>
      </c>
      <c r="F17" s="22" t="s">
        <v>1</v>
      </c>
      <c r="G17" s="22" t="s">
        <v>1</v>
      </c>
      <c r="H17" s="22" t="s">
        <v>1</v>
      </c>
      <c r="I17" s="22" t="s">
        <v>0</v>
      </c>
      <c r="J17" s="22">
        <v>0</v>
      </c>
      <c r="K17" s="22">
        <v>0</v>
      </c>
      <c r="L17" s="22">
        <v>0</v>
      </c>
      <c r="M17" s="22" t="s">
        <v>38</v>
      </c>
      <c r="N17" s="22" t="s">
        <v>38</v>
      </c>
      <c r="O17" s="22" t="s">
        <v>38</v>
      </c>
      <c r="P17" s="23" t="s">
        <v>38</v>
      </c>
      <c r="Q17" s="24">
        <v>3250</v>
      </c>
      <c r="R17" s="25" t="s">
        <v>38</v>
      </c>
    </row>
    <row r="18" spans="2:18" x14ac:dyDescent="0.2">
      <c r="B18" s="4"/>
      <c r="C18" s="26" t="s">
        <v>348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6"/>
      <c r="Q18" s="20"/>
      <c r="R18" s="26"/>
    </row>
    <row r="19" spans="2:18" x14ac:dyDescent="0.2">
      <c r="B19" s="4" t="str">
        <f>HYPERLINK("https://My.HRDantwerp.com/?report=190000028929","HRD")</f>
        <v>HRD</v>
      </c>
      <c r="C19" s="21">
        <v>3.04</v>
      </c>
      <c r="D19" s="22" t="s">
        <v>18</v>
      </c>
      <c r="E19" s="22" t="s">
        <v>42</v>
      </c>
      <c r="F19" s="22" t="s">
        <v>4</v>
      </c>
      <c r="G19" s="22" t="s">
        <v>4</v>
      </c>
      <c r="H19" s="22" t="s">
        <v>4</v>
      </c>
      <c r="I19" s="22" t="s">
        <v>5</v>
      </c>
      <c r="J19" s="22">
        <v>53</v>
      </c>
      <c r="K19" s="22">
        <v>13.5</v>
      </c>
      <c r="L19" s="22">
        <v>41.5</v>
      </c>
      <c r="M19" s="22" t="s">
        <v>325</v>
      </c>
      <c r="N19" s="22" t="s">
        <v>326</v>
      </c>
      <c r="O19" s="22" t="s">
        <v>146</v>
      </c>
      <c r="P19" s="23">
        <v>-67</v>
      </c>
      <c r="Q19" s="24">
        <v>9240</v>
      </c>
      <c r="R19" s="25">
        <v>28000</v>
      </c>
    </row>
    <row r="20" spans="2:18" x14ac:dyDescent="0.2">
      <c r="B20" s="4" t="str">
        <f>HYPERLINK("https://My.HRDantwerp.com/?report=170002113992","HRD")</f>
        <v>HRD</v>
      </c>
      <c r="C20" s="21">
        <v>3.7</v>
      </c>
      <c r="D20" s="22" t="s">
        <v>18</v>
      </c>
      <c r="E20" s="22" t="s">
        <v>43</v>
      </c>
      <c r="F20" s="22" t="s">
        <v>6</v>
      </c>
      <c r="G20" s="22" t="s">
        <v>6</v>
      </c>
      <c r="H20" s="22" t="s">
        <v>6</v>
      </c>
      <c r="I20" s="22" t="s">
        <v>8</v>
      </c>
      <c r="J20" s="22">
        <v>58</v>
      </c>
      <c r="K20" s="22">
        <v>15.5</v>
      </c>
      <c r="L20" s="22">
        <v>43</v>
      </c>
      <c r="M20" s="22" t="s">
        <v>111</v>
      </c>
      <c r="N20" s="22" t="s">
        <v>112</v>
      </c>
      <c r="O20" s="22" t="s">
        <v>113</v>
      </c>
      <c r="P20" s="23">
        <v>-50</v>
      </c>
      <c r="Q20" s="24">
        <v>10500</v>
      </c>
      <c r="R20" s="25">
        <v>21000</v>
      </c>
    </row>
    <row r="21" spans="2:18" x14ac:dyDescent="0.2">
      <c r="B21" s="5" t="str">
        <f>HYPERLINK("https://IGI.org/verify.php?r=523200358","IGI")</f>
        <v>IGI</v>
      </c>
      <c r="C21" s="21">
        <v>3.7</v>
      </c>
      <c r="D21" s="22" t="s">
        <v>18</v>
      </c>
      <c r="E21" s="22" t="s">
        <v>43</v>
      </c>
      <c r="F21" s="22" t="s">
        <v>6</v>
      </c>
      <c r="G21" s="22" t="s">
        <v>6</v>
      </c>
      <c r="H21" s="22" t="s">
        <v>6</v>
      </c>
      <c r="I21" s="22" t="s">
        <v>9</v>
      </c>
      <c r="J21" s="22">
        <v>57.5</v>
      </c>
      <c r="K21" s="22">
        <v>15.5</v>
      </c>
      <c r="L21" s="22">
        <v>43</v>
      </c>
      <c r="M21" s="22" t="s">
        <v>114</v>
      </c>
      <c r="N21" s="22" t="s">
        <v>115</v>
      </c>
      <c r="O21" s="22" t="s">
        <v>116</v>
      </c>
      <c r="P21" s="23">
        <v>-50</v>
      </c>
      <c r="Q21" s="24">
        <v>10500</v>
      </c>
      <c r="R21" s="25">
        <v>21000</v>
      </c>
    </row>
    <row r="22" spans="2:18" x14ac:dyDescent="0.2">
      <c r="B22" s="3" t="str">
        <f>HYPERLINK("http://www.GIA.edu/cs/Satellite?pagename=GST%2FDispatcher&amp;childpagename=GIA%2FPage%2FReportCheck&amp;c=Page&amp;cid=1355954554547&amp;reportno=2231602681","GIA")</f>
        <v>GIA</v>
      </c>
      <c r="C22" s="21">
        <v>3.03</v>
      </c>
      <c r="D22" s="22" t="s">
        <v>19</v>
      </c>
      <c r="E22" s="22" t="s">
        <v>42</v>
      </c>
      <c r="F22" s="22" t="s">
        <v>6</v>
      </c>
      <c r="G22" s="22" t="s">
        <v>6</v>
      </c>
      <c r="H22" s="22" t="s">
        <v>6</v>
      </c>
      <c r="I22" s="22" t="s">
        <v>7</v>
      </c>
      <c r="J22" s="22">
        <v>60</v>
      </c>
      <c r="K22" s="22">
        <v>12.5</v>
      </c>
      <c r="L22" s="22">
        <v>44.5</v>
      </c>
      <c r="M22" s="22" t="s">
        <v>327</v>
      </c>
      <c r="N22" s="22" t="s">
        <v>328</v>
      </c>
      <c r="O22" s="22" t="s">
        <v>329</v>
      </c>
      <c r="P22" s="23">
        <v>-44</v>
      </c>
      <c r="Q22" s="24">
        <v>12600</v>
      </c>
      <c r="R22" s="25">
        <v>22500</v>
      </c>
    </row>
    <row r="23" spans="2:18" x14ac:dyDescent="0.2">
      <c r="B23" s="5" t="str">
        <f>HYPERLINK("https://IGI.org/verify.php?r=687566528","IGI")</f>
        <v>IGI</v>
      </c>
      <c r="C23" s="21">
        <v>3.01</v>
      </c>
      <c r="D23" s="22" t="s">
        <v>19</v>
      </c>
      <c r="E23" s="22" t="s">
        <v>42</v>
      </c>
      <c r="F23" s="22" t="s">
        <v>6</v>
      </c>
      <c r="G23" s="22" t="s">
        <v>6</v>
      </c>
      <c r="H23" s="22" t="s">
        <v>6</v>
      </c>
      <c r="I23" s="22" t="s">
        <v>5</v>
      </c>
      <c r="J23" s="22">
        <v>62</v>
      </c>
      <c r="K23" s="22">
        <v>12.5</v>
      </c>
      <c r="L23" s="22">
        <v>44.5</v>
      </c>
      <c r="M23" s="22" t="s">
        <v>144</v>
      </c>
      <c r="N23" s="22" t="s">
        <v>145</v>
      </c>
      <c r="O23" s="22" t="s">
        <v>146</v>
      </c>
      <c r="P23" s="23">
        <v>-60</v>
      </c>
      <c r="Q23" s="24">
        <v>9000</v>
      </c>
      <c r="R23" s="25">
        <v>22500</v>
      </c>
    </row>
    <row r="24" spans="2:18" x14ac:dyDescent="0.2">
      <c r="B24" s="3" t="str">
        <f>HYPERLINK("http://www.GIA.edu/cs/Satellite?pagename=GST%2FDispatcher&amp;childpagename=GIA%2FPage%2FReportCheck&amp;c=Page&amp;cid=1355954554547&amp;reportno=2517521216","GIA")</f>
        <v>GIA</v>
      </c>
      <c r="C24" s="21">
        <v>3.3</v>
      </c>
      <c r="D24" s="22" t="s">
        <v>20</v>
      </c>
      <c r="E24" s="22" t="s">
        <v>44</v>
      </c>
      <c r="F24" s="22" t="s">
        <v>1</v>
      </c>
      <c r="G24" s="22" t="s">
        <v>3</v>
      </c>
      <c r="H24" s="22" t="s">
        <v>22</v>
      </c>
      <c r="I24" s="22" t="s">
        <v>7</v>
      </c>
      <c r="J24" s="22">
        <v>0</v>
      </c>
      <c r="K24" s="22">
        <v>0</v>
      </c>
      <c r="L24" s="22">
        <v>0</v>
      </c>
      <c r="M24" s="22" t="s">
        <v>168</v>
      </c>
      <c r="N24" s="22" t="s">
        <v>169</v>
      </c>
      <c r="O24" s="22" t="s">
        <v>170</v>
      </c>
      <c r="P24" s="23">
        <v>-21.43</v>
      </c>
      <c r="Q24" s="24">
        <v>11000</v>
      </c>
      <c r="R24" s="25">
        <v>14000.254550082729</v>
      </c>
    </row>
    <row r="25" spans="2:18" x14ac:dyDescent="0.2">
      <c r="B25" s="4" t="str">
        <f>HYPERLINK("https://My.HRDantwerp.com/?report=180000109863","HRD")</f>
        <v>HRD</v>
      </c>
      <c r="C25" s="21">
        <v>3.01</v>
      </c>
      <c r="D25" s="22" t="s">
        <v>23</v>
      </c>
      <c r="E25" s="22" t="s">
        <v>41</v>
      </c>
      <c r="F25" s="22" t="s">
        <v>6</v>
      </c>
      <c r="G25" s="22" t="s">
        <v>6</v>
      </c>
      <c r="H25" s="22" t="s">
        <v>6</v>
      </c>
      <c r="I25" s="22" t="s">
        <v>5</v>
      </c>
      <c r="J25" s="22">
        <v>55</v>
      </c>
      <c r="K25" s="22">
        <v>15.5</v>
      </c>
      <c r="L25" s="22">
        <v>0</v>
      </c>
      <c r="M25" s="22" t="s">
        <v>171</v>
      </c>
      <c r="N25" s="22" t="s">
        <v>172</v>
      </c>
      <c r="O25" s="22" t="s">
        <v>173</v>
      </c>
      <c r="P25" s="23">
        <v>-54</v>
      </c>
      <c r="Q25" s="24">
        <v>8050</v>
      </c>
      <c r="R25" s="25">
        <v>17500</v>
      </c>
    </row>
    <row r="26" spans="2:18" x14ac:dyDescent="0.2">
      <c r="B26" s="3" t="str">
        <f>HYPERLINK("http://www.GIA.edu/cs/Satellite?pagename=GST%2FDispatcher&amp;childpagename=GIA%2FPage%2FReportCheck&amp;c=Page&amp;cid=1355954554547&amp;reportno=1518794935","GIA")</f>
        <v>GIA</v>
      </c>
      <c r="C26" s="21">
        <v>3</v>
      </c>
      <c r="D26" s="22" t="s">
        <v>23</v>
      </c>
      <c r="E26" s="22" t="s">
        <v>44</v>
      </c>
      <c r="F26" s="22" t="s">
        <v>1</v>
      </c>
      <c r="G26" s="22" t="s">
        <v>3</v>
      </c>
      <c r="H26" s="22" t="s">
        <v>24</v>
      </c>
      <c r="I26" s="22" t="s">
        <v>25</v>
      </c>
      <c r="J26" s="22">
        <v>0</v>
      </c>
      <c r="K26" s="22">
        <v>0</v>
      </c>
      <c r="L26" s="22">
        <v>0</v>
      </c>
      <c r="M26" s="22" t="s">
        <v>189</v>
      </c>
      <c r="N26" s="22" t="s">
        <v>190</v>
      </c>
      <c r="O26" s="22" t="s">
        <v>191</v>
      </c>
      <c r="P26" s="23">
        <v>-16.670000000000002</v>
      </c>
      <c r="Q26" s="24">
        <v>10000</v>
      </c>
      <c r="R26" s="25">
        <v>12000.480019200768</v>
      </c>
    </row>
    <row r="27" spans="2:18" x14ac:dyDescent="0.2">
      <c r="B27" s="3" t="str">
        <f>HYPERLINK("http://www.GIA.edu/cs/Satellite?pagename=GST%2FDispatcher&amp;childpagename=GIA%2FPage%2FReportCheck&amp;c=Page&amp;cid=1355954554547&amp;reportno=5221844825","GIA")</f>
        <v>GIA</v>
      </c>
      <c r="C27" s="21">
        <v>3.16</v>
      </c>
      <c r="D27" s="22" t="s">
        <v>27</v>
      </c>
      <c r="E27" s="22" t="s">
        <v>40</v>
      </c>
      <c r="F27" s="22" t="s">
        <v>1</v>
      </c>
      <c r="G27" s="22" t="s">
        <v>3</v>
      </c>
      <c r="H27" s="22" t="s">
        <v>3</v>
      </c>
      <c r="I27" s="22" t="s">
        <v>7</v>
      </c>
      <c r="J27" s="22">
        <v>52</v>
      </c>
      <c r="K27" s="22">
        <v>0</v>
      </c>
      <c r="L27" s="22">
        <v>0</v>
      </c>
      <c r="M27" s="22" t="s">
        <v>212</v>
      </c>
      <c r="N27" s="22" t="s">
        <v>213</v>
      </c>
      <c r="O27" s="22" t="s">
        <v>146</v>
      </c>
      <c r="P27" s="23">
        <v>-42.33</v>
      </c>
      <c r="Q27" s="24">
        <v>5940</v>
      </c>
      <c r="R27" s="25">
        <v>10299.982659961852</v>
      </c>
    </row>
    <row r="28" spans="2:18" x14ac:dyDescent="0.2">
      <c r="B28" s="1" t="s">
        <v>0</v>
      </c>
      <c r="C28" s="21">
        <v>3.03</v>
      </c>
      <c r="D28" s="22" t="s">
        <v>33</v>
      </c>
      <c r="E28" s="22" t="s">
        <v>42</v>
      </c>
      <c r="F28" s="22" t="s">
        <v>1</v>
      </c>
      <c r="G28" s="22" t="s">
        <v>1</v>
      </c>
      <c r="H28" s="22" t="s">
        <v>1</v>
      </c>
      <c r="I28" s="22" t="s">
        <v>0</v>
      </c>
      <c r="J28" s="22">
        <v>0</v>
      </c>
      <c r="K28" s="22">
        <v>0</v>
      </c>
      <c r="L28" s="22">
        <v>0</v>
      </c>
      <c r="M28" s="22" t="s">
        <v>38</v>
      </c>
      <c r="N28" s="22" t="s">
        <v>38</v>
      </c>
      <c r="O28" s="22" t="s">
        <v>38</v>
      </c>
      <c r="P28" s="23" t="s">
        <v>38</v>
      </c>
      <c r="Q28" s="24">
        <v>3000</v>
      </c>
      <c r="R28" s="25" t="s">
        <v>38</v>
      </c>
    </row>
    <row r="29" spans="2:18" x14ac:dyDescent="0.2">
      <c r="B29" s="3"/>
      <c r="C29" s="26" t="s">
        <v>347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6"/>
      <c r="Q29" s="20"/>
      <c r="R29" s="26"/>
    </row>
    <row r="30" spans="2:18" x14ac:dyDescent="0.2">
      <c r="B30" s="3" t="str">
        <f>HYPERLINK("http://www.GIA.edu/cs/Satellite?pagename=GST%2FDispatcher&amp;childpagename=GIA%2FPage%2FReportCheck&amp;c=Page&amp;cid=1355954554547&amp;reportno=1126899556","GIA")</f>
        <v>GIA</v>
      </c>
      <c r="C30" s="21">
        <v>2.02</v>
      </c>
      <c r="D30" s="22" t="s">
        <v>2</v>
      </c>
      <c r="E30" s="22" t="s">
        <v>40</v>
      </c>
      <c r="F30" s="22" t="s">
        <v>6</v>
      </c>
      <c r="G30" s="22" t="s">
        <v>4</v>
      </c>
      <c r="H30" s="22" t="s">
        <v>6</v>
      </c>
      <c r="I30" s="22" t="s">
        <v>7</v>
      </c>
      <c r="J30" s="22">
        <v>60</v>
      </c>
      <c r="K30" s="22">
        <v>12</v>
      </c>
      <c r="L30" s="22">
        <v>0</v>
      </c>
      <c r="M30" s="22" t="s">
        <v>57</v>
      </c>
      <c r="N30" s="22" t="s">
        <v>58</v>
      </c>
      <c r="O30" s="22" t="s">
        <v>59</v>
      </c>
      <c r="P30" s="23">
        <v>-45</v>
      </c>
      <c r="Q30" s="24">
        <v>11275</v>
      </c>
      <c r="R30" s="25">
        <v>20500</v>
      </c>
    </row>
    <row r="31" spans="2:18" x14ac:dyDescent="0.2">
      <c r="B31" s="3" t="str">
        <f>HYPERLINK("http://www.GIA.edu/cs/Satellite?pagename=GST%2FDispatcher&amp;childpagename=GIA%2FPage%2FReportCheck&amp;c=Page&amp;cid=1355954554547&amp;reportno=1199515275","GIA")</f>
        <v>GIA</v>
      </c>
      <c r="C31" s="21">
        <v>2.0099999999999998</v>
      </c>
      <c r="D31" s="22" t="s">
        <v>2</v>
      </c>
      <c r="E31" s="22" t="s">
        <v>40</v>
      </c>
      <c r="F31" s="22" t="s">
        <v>4</v>
      </c>
      <c r="G31" s="22" t="s">
        <v>6</v>
      </c>
      <c r="H31" s="22" t="s">
        <v>4</v>
      </c>
      <c r="I31" s="22" t="s">
        <v>10</v>
      </c>
      <c r="J31" s="22">
        <v>62</v>
      </c>
      <c r="K31" s="22">
        <v>12.5</v>
      </c>
      <c r="L31" s="22">
        <v>45</v>
      </c>
      <c r="M31" s="22" t="s">
        <v>60</v>
      </c>
      <c r="N31" s="22" t="s">
        <v>61</v>
      </c>
      <c r="O31" s="22" t="s">
        <v>62</v>
      </c>
      <c r="P31" s="23">
        <v>-45</v>
      </c>
      <c r="Q31" s="24">
        <v>11275</v>
      </c>
      <c r="R31" s="25">
        <v>20500</v>
      </c>
    </row>
    <row r="32" spans="2:18" x14ac:dyDescent="0.2">
      <c r="B32" s="3" t="str">
        <f>HYPERLINK("http://www.GIA.edu/cs/Satellite?pagename=GST%2FDispatcher&amp;childpagename=GIA%2FPage%2FReportCheck&amp;c=Page&amp;cid=1355954554547&amp;reportno=2225769308","GIA")</f>
        <v>GIA</v>
      </c>
      <c r="C32" s="21">
        <v>2.2200000000000002</v>
      </c>
      <c r="D32" s="22" t="s">
        <v>12</v>
      </c>
      <c r="E32" s="22" t="s">
        <v>42</v>
      </c>
      <c r="F32" s="22" t="s">
        <v>6</v>
      </c>
      <c r="G32" s="22" t="s">
        <v>6</v>
      </c>
      <c r="H32" s="22" t="s">
        <v>6</v>
      </c>
      <c r="I32" s="22" t="s">
        <v>15</v>
      </c>
      <c r="J32" s="22">
        <v>59</v>
      </c>
      <c r="K32" s="22">
        <v>14</v>
      </c>
      <c r="L32" s="22">
        <v>43.5</v>
      </c>
      <c r="M32" s="22" t="s">
        <v>72</v>
      </c>
      <c r="N32" s="22" t="s">
        <v>73</v>
      </c>
      <c r="O32" s="22" t="s">
        <v>74</v>
      </c>
      <c r="P32" s="23">
        <v>-42.86</v>
      </c>
      <c r="Q32" s="24">
        <v>12000</v>
      </c>
      <c r="R32" s="25">
        <v>21001.050052502625</v>
      </c>
    </row>
    <row r="33" spans="2:18" x14ac:dyDescent="0.2">
      <c r="B33" s="5" t="str">
        <f>HYPERLINK("https://IGI.org/verify.php?r=F6A86460","IGI")</f>
        <v>IGI</v>
      </c>
      <c r="C33" s="21">
        <v>2.0699999999999998</v>
      </c>
      <c r="D33" s="22" t="s">
        <v>18</v>
      </c>
      <c r="E33" s="22" t="s">
        <v>41</v>
      </c>
      <c r="F33" s="22" t="s">
        <v>6</v>
      </c>
      <c r="G33" s="22" t="s">
        <v>4</v>
      </c>
      <c r="H33" s="22" t="s">
        <v>6</v>
      </c>
      <c r="I33" s="22" t="s">
        <v>13</v>
      </c>
      <c r="J33" s="22">
        <v>58.5</v>
      </c>
      <c r="K33" s="22">
        <v>14</v>
      </c>
      <c r="L33" s="22">
        <v>44.5</v>
      </c>
      <c r="M33" s="22" t="s">
        <v>100</v>
      </c>
      <c r="N33" s="22" t="s">
        <v>101</v>
      </c>
      <c r="O33" s="22" t="s">
        <v>102</v>
      </c>
      <c r="P33" s="23">
        <v>-60</v>
      </c>
      <c r="Q33" s="24">
        <v>8200</v>
      </c>
      <c r="R33" s="25">
        <v>20500</v>
      </c>
    </row>
    <row r="34" spans="2:18" x14ac:dyDescent="0.2">
      <c r="B34" s="3" t="str">
        <f>HYPERLINK("http://www.GIA.edu/cs/Satellite?pagename=GST%2FDispatcher&amp;childpagename=GIA%2FPage%2FReportCheck&amp;c=Page&amp;cid=1355954554547&amp;reportno=2231653707","GIA")</f>
        <v>GIA</v>
      </c>
      <c r="C34" s="21">
        <v>2.7</v>
      </c>
      <c r="D34" s="22" t="s">
        <v>18</v>
      </c>
      <c r="E34" s="22" t="s">
        <v>42</v>
      </c>
      <c r="F34" s="22" t="s">
        <v>6</v>
      </c>
      <c r="G34" s="22" t="s">
        <v>6</v>
      </c>
      <c r="H34" s="22" t="s">
        <v>6</v>
      </c>
      <c r="I34" s="22" t="s">
        <v>7</v>
      </c>
      <c r="J34" s="22">
        <v>0</v>
      </c>
      <c r="K34" s="22">
        <v>0</v>
      </c>
      <c r="L34" s="22">
        <v>0</v>
      </c>
      <c r="M34" s="22" t="s">
        <v>50</v>
      </c>
      <c r="N34" s="22" t="e">
        <v>#VALUE!</v>
      </c>
      <c r="O34" s="22" t="s">
        <v>50</v>
      </c>
      <c r="P34" s="23">
        <v>-25</v>
      </c>
      <c r="Q34" s="24">
        <v>12375</v>
      </c>
      <c r="R34" s="25">
        <v>16500</v>
      </c>
    </row>
    <row r="35" spans="2:18" x14ac:dyDescent="0.2">
      <c r="B35" s="5" t="str">
        <f>HYPERLINK("https://IGI.org/verify.php?r=687582912","IGI")</f>
        <v>IGI</v>
      </c>
      <c r="C35" s="21">
        <v>2.0699999999999998</v>
      </c>
      <c r="D35" s="22" t="s">
        <v>19</v>
      </c>
      <c r="E35" s="22" t="s">
        <v>41</v>
      </c>
      <c r="F35" s="22" t="s">
        <v>4</v>
      </c>
      <c r="G35" s="22" t="s">
        <v>6</v>
      </c>
      <c r="H35" s="22" t="s">
        <v>4</v>
      </c>
      <c r="I35" s="22" t="s">
        <v>9</v>
      </c>
      <c r="J35" s="22">
        <v>64</v>
      </c>
      <c r="K35" s="22">
        <v>10.5</v>
      </c>
      <c r="L35" s="22">
        <v>0</v>
      </c>
      <c r="M35" s="22" t="s">
        <v>123</v>
      </c>
      <c r="N35" s="22" t="s">
        <v>124</v>
      </c>
      <c r="O35" s="22" t="s">
        <v>125</v>
      </c>
      <c r="P35" s="23">
        <v>-65</v>
      </c>
      <c r="Q35" s="24">
        <v>5775</v>
      </c>
      <c r="R35" s="25">
        <v>16500</v>
      </c>
    </row>
    <row r="36" spans="2:18" x14ac:dyDescent="0.2">
      <c r="B36" s="5" t="str">
        <f>HYPERLINK("https://IGI.org/verify.php?r=559263707","IGI")</f>
        <v>IGI</v>
      </c>
      <c r="C36" s="21">
        <v>2.0099999999999998</v>
      </c>
      <c r="D36" s="22" t="s">
        <v>19</v>
      </c>
      <c r="E36" s="22" t="s">
        <v>39</v>
      </c>
      <c r="F36" s="22" t="s">
        <v>6</v>
      </c>
      <c r="G36" s="22" t="s">
        <v>6</v>
      </c>
      <c r="H36" s="22" t="s">
        <v>6</v>
      </c>
      <c r="I36" s="22" t="s">
        <v>13</v>
      </c>
      <c r="J36" s="22">
        <v>55</v>
      </c>
      <c r="K36" s="22">
        <v>15</v>
      </c>
      <c r="L36" s="22">
        <v>0</v>
      </c>
      <c r="M36" s="22" t="s">
        <v>132</v>
      </c>
      <c r="N36" s="22" t="s">
        <v>133</v>
      </c>
      <c r="O36" s="22" t="s">
        <v>134</v>
      </c>
      <c r="P36" s="23">
        <v>-60</v>
      </c>
      <c r="Q36" s="24">
        <v>6000</v>
      </c>
      <c r="R36" s="25">
        <v>15000</v>
      </c>
    </row>
    <row r="37" spans="2:18" x14ac:dyDescent="0.2">
      <c r="B37" s="5" t="str">
        <f>HYPERLINK("https://IGI.org/verify.php?r=564344105","IGI")</f>
        <v>IGI</v>
      </c>
      <c r="C37" s="21">
        <v>2.0099999999999998</v>
      </c>
      <c r="D37" s="22" t="s">
        <v>19</v>
      </c>
      <c r="E37" s="22" t="s">
        <v>42</v>
      </c>
      <c r="F37" s="22" t="s">
        <v>6</v>
      </c>
      <c r="G37" s="22" t="s">
        <v>6</v>
      </c>
      <c r="H37" s="22" t="s">
        <v>4</v>
      </c>
      <c r="I37" s="22" t="s">
        <v>7</v>
      </c>
      <c r="J37" s="22">
        <v>57.5</v>
      </c>
      <c r="K37" s="22">
        <v>15.5</v>
      </c>
      <c r="L37" s="22">
        <v>44.5</v>
      </c>
      <c r="M37" s="22" t="s">
        <v>147</v>
      </c>
      <c r="N37" s="22" t="s">
        <v>148</v>
      </c>
      <c r="O37" s="22" t="s">
        <v>149</v>
      </c>
      <c r="P37" s="23">
        <v>-60</v>
      </c>
      <c r="Q37" s="24">
        <v>5400</v>
      </c>
      <c r="R37" s="25">
        <v>13500</v>
      </c>
    </row>
    <row r="38" spans="2:18" x14ac:dyDescent="0.2">
      <c r="B38" s="5" t="str">
        <f>HYPERLINK("https://IGI.org/verify.php?r=F4G13046","IGI")</f>
        <v>IGI</v>
      </c>
      <c r="C38" s="21">
        <v>2.04</v>
      </c>
      <c r="D38" s="22" t="s">
        <v>26</v>
      </c>
      <c r="E38" s="22" t="s">
        <v>41</v>
      </c>
      <c r="F38" s="22" t="s">
        <v>6</v>
      </c>
      <c r="G38" s="22" t="s">
        <v>4</v>
      </c>
      <c r="H38" s="22" t="s">
        <v>4</v>
      </c>
      <c r="I38" s="22" t="s">
        <v>7</v>
      </c>
      <c r="J38" s="22">
        <v>61.5</v>
      </c>
      <c r="K38" s="22">
        <v>12.5</v>
      </c>
      <c r="L38" s="22">
        <v>43.5</v>
      </c>
      <c r="M38" s="22" t="s">
        <v>192</v>
      </c>
      <c r="N38" s="22" t="s">
        <v>193</v>
      </c>
      <c r="O38" s="22" t="s">
        <v>194</v>
      </c>
      <c r="P38" s="23">
        <v>-60</v>
      </c>
      <c r="Q38" s="24">
        <v>3640</v>
      </c>
      <c r="R38" s="25">
        <v>9100</v>
      </c>
    </row>
    <row r="39" spans="2:18" x14ac:dyDescent="0.2">
      <c r="B39" s="4" t="str">
        <f>HYPERLINK("https://My.HRDantwerp.com/?report=220000172179","HRD")</f>
        <v>HRD</v>
      </c>
      <c r="C39" s="21">
        <v>2.13</v>
      </c>
      <c r="D39" s="22" t="s">
        <v>26</v>
      </c>
      <c r="E39" s="22" t="s">
        <v>42</v>
      </c>
      <c r="F39" s="22" t="s">
        <v>6</v>
      </c>
      <c r="G39" s="22" t="s">
        <v>6</v>
      </c>
      <c r="H39" s="22" t="s">
        <v>6</v>
      </c>
      <c r="I39" s="22" t="s">
        <v>5</v>
      </c>
      <c r="J39" s="22">
        <v>61</v>
      </c>
      <c r="K39" s="22">
        <v>13.5</v>
      </c>
      <c r="L39" s="22">
        <v>0</v>
      </c>
      <c r="M39" s="22" t="s">
        <v>201</v>
      </c>
      <c r="N39" s="22" t="s">
        <v>202</v>
      </c>
      <c r="O39" s="22" t="s">
        <v>203</v>
      </c>
      <c r="P39" s="23">
        <v>-40</v>
      </c>
      <c r="Q39" s="24">
        <v>4560</v>
      </c>
      <c r="R39" s="25">
        <v>7600</v>
      </c>
    </row>
    <row r="40" spans="2:18" x14ac:dyDescent="0.2">
      <c r="B40" s="3" t="str">
        <f>HYPERLINK("http://www.GIA.edu/cs/Satellite?pagename=GST%2FDispatcher&amp;childpagename=GIA%2FPage%2FReportCheck&amp;c=Page&amp;cid=1355954554547&amp;reportno=2231127825","GIA")</f>
        <v>GIA</v>
      </c>
      <c r="C40" s="21">
        <v>2.71</v>
      </c>
      <c r="D40" s="22" t="s">
        <v>26</v>
      </c>
      <c r="E40" s="22" t="s">
        <v>43</v>
      </c>
      <c r="F40" s="22" t="s">
        <v>1</v>
      </c>
      <c r="G40" s="22" t="s">
        <v>3</v>
      </c>
      <c r="H40" s="22" t="s">
        <v>22</v>
      </c>
      <c r="I40" s="22" t="s">
        <v>7</v>
      </c>
      <c r="J40" s="22">
        <v>0</v>
      </c>
      <c r="K40" s="22">
        <v>0</v>
      </c>
      <c r="L40" s="22">
        <v>0</v>
      </c>
      <c r="M40" s="22" t="s">
        <v>204</v>
      </c>
      <c r="N40" s="22" t="s">
        <v>139</v>
      </c>
      <c r="O40" s="22" t="s">
        <v>59</v>
      </c>
      <c r="P40" s="23">
        <v>-40</v>
      </c>
      <c r="Q40" s="24">
        <v>3780</v>
      </c>
      <c r="R40" s="25">
        <v>6300</v>
      </c>
    </row>
    <row r="41" spans="2:18" x14ac:dyDescent="0.2">
      <c r="B41" s="5" t="str">
        <f>HYPERLINK("https://IGI.org/verify.php?r=604308606","IGI")</f>
        <v>IGI</v>
      </c>
      <c r="C41" s="21">
        <v>2.7</v>
      </c>
      <c r="D41" s="22" t="s">
        <v>32</v>
      </c>
      <c r="E41" s="22" t="s">
        <v>40</v>
      </c>
      <c r="F41" s="22" t="s">
        <v>4</v>
      </c>
      <c r="G41" s="22" t="s">
        <v>6</v>
      </c>
      <c r="H41" s="22" t="s">
        <v>6</v>
      </c>
      <c r="I41" s="22" t="s">
        <v>7</v>
      </c>
      <c r="J41" s="22">
        <v>0</v>
      </c>
      <c r="K41" s="22">
        <v>0</v>
      </c>
      <c r="L41" s="22">
        <v>0</v>
      </c>
      <c r="M41" s="22" t="s">
        <v>226</v>
      </c>
      <c r="N41" s="22" t="s">
        <v>227</v>
      </c>
      <c r="O41" s="22" t="s">
        <v>228</v>
      </c>
      <c r="P41" s="23" t="s">
        <v>38</v>
      </c>
      <c r="Q41" s="24">
        <v>2400</v>
      </c>
      <c r="R41" s="25" t="s">
        <v>38</v>
      </c>
    </row>
    <row r="42" spans="2:18" x14ac:dyDescent="0.2">
      <c r="B42" s="5"/>
      <c r="C42" s="26" t="s">
        <v>346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6"/>
      <c r="Q42" s="20"/>
      <c r="R42" s="26"/>
    </row>
    <row r="43" spans="2:18" x14ac:dyDescent="0.2">
      <c r="B43" s="4" t="str">
        <f>HYPERLINK("https://My.HRDantwerp.com/?report=170001416778","HRD")</f>
        <v>HRD</v>
      </c>
      <c r="C43" s="21">
        <v>1.59</v>
      </c>
      <c r="D43" s="22" t="s">
        <v>2</v>
      </c>
      <c r="E43" s="22" t="s">
        <v>39</v>
      </c>
      <c r="F43" s="22" t="s">
        <v>6</v>
      </c>
      <c r="G43" s="22" t="s">
        <v>6</v>
      </c>
      <c r="H43" s="22" t="s">
        <v>6</v>
      </c>
      <c r="I43" s="22" t="s">
        <v>7</v>
      </c>
      <c r="J43" s="22">
        <v>62</v>
      </c>
      <c r="K43" s="22">
        <v>12</v>
      </c>
      <c r="L43" s="22">
        <v>0</v>
      </c>
      <c r="M43" s="22" t="s">
        <v>322</v>
      </c>
      <c r="N43" s="22" t="s">
        <v>95</v>
      </c>
      <c r="O43" s="22" t="s">
        <v>301</v>
      </c>
      <c r="P43" s="23">
        <v>-55</v>
      </c>
      <c r="Q43" s="24">
        <v>8415</v>
      </c>
      <c r="R43" s="25">
        <v>18700</v>
      </c>
    </row>
    <row r="44" spans="2:18" x14ac:dyDescent="0.2">
      <c r="B44" s="4" t="str">
        <f>HYPERLINK("https://My.HRDantwerp.com/?report=250000167177","HRD")</f>
        <v>HRD</v>
      </c>
      <c r="C44" s="21">
        <v>1.51</v>
      </c>
      <c r="D44" s="22" t="s">
        <v>2</v>
      </c>
      <c r="E44" s="22" t="s">
        <v>39</v>
      </c>
      <c r="F44" s="22" t="s">
        <v>4</v>
      </c>
      <c r="G44" s="22" t="s">
        <v>4</v>
      </c>
      <c r="H44" s="22" t="s">
        <v>6</v>
      </c>
      <c r="I44" s="22" t="s">
        <v>8</v>
      </c>
      <c r="J44" s="22">
        <v>59</v>
      </c>
      <c r="K44" s="22">
        <v>15.5</v>
      </c>
      <c r="L44" s="22">
        <v>44.5</v>
      </c>
      <c r="M44" s="22" t="s">
        <v>323</v>
      </c>
      <c r="N44" s="22" t="s">
        <v>324</v>
      </c>
      <c r="O44" s="22" t="s">
        <v>167</v>
      </c>
      <c r="P44" s="23">
        <v>-60</v>
      </c>
      <c r="Q44" s="24">
        <v>7480</v>
      </c>
      <c r="R44" s="25">
        <v>18700</v>
      </c>
    </row>
    <row r="45" spans="2:18" x14ac:dyDescent="0.2">
      <c r="B45" s="5" t="str">
        <f>HYPERLINK("https://IGI.org/verify.php?r=483193463","IGI")</f>
        <v>IGI</v>
      </c>
      <c r="C45" s="21">
        <v>1.53</v>
      </c>
      <c r="D45" s="22" t="s">
        <v>16</v>
      </c>
      <c r="E45" s="22" t="s">
        <v>41</v>
      </c>
      <c r="F45" s="22" t="s">
        <v>4</v>
      </c>
      <c r="G45" s="22" t="s">
        <v>4</v>
      </c>
      <c r="H45" s="22" t="s">
        <v>4</v>
      </c>
      <c r="I45" s="22" t="s">
        <v>9</v>
      </c>
      <c r="J45" s="22">
        <v>64</v>
      </c>
      <c r="K45" s="22">
        <v>12.5</v>
      </c>
      <c r="L45" s="22">
        <v>43.5</v>
      </c>
      <c r="M45" s="22" t="s">
        <v>81</v>
      </c>
      <c r="N45" s="22" t="s">
        <v>82</v>
      </c>
      <c r="O45" s="22" t="s">
        <v>83</v>
      </c>
      <c r="P45" s="23">
        <v>-65</v>
      </c>
      <c r="Q45" s="24">
        <v>5740</v>
      </c>
      <c r="R45" s="25">
        <v>16400</v>
      </c>
    </row>
    <row r="46" spans="2:18" x14ac:dyDescent="0.2">
      <c r="B46" s="4" t="str">
        <f>HYPERLINK("https://My.HRDantwerp.com/?report=220000181554","HRD")</f>
        <v>HRD</v>
      </c>
      <c r="C46" s="21">
        <v>1.52</v>
      </c>
      <c r="D46" s="22" t="s">
        <v>16</v>
      </c>
      <c r="E46" s="22" t="s">
        <v>41</v>
      </c>
      <c r="F46" s="22" t="s">
        <v>4</v>
      </c>
      <c r="G46" s="22" t="s">
        <v>4</v>
      </c>
      <c r="H46" s="22" t="s">
        <v>4</v>
      </c>
      <c r="I46" s="22" t="s">
        <v>5</v>
      </c>
      <c r="J46" s="22">
        <v>62</v>
      </c>
      <c r="K46" s="22">
        <v>14.5</v>
      </c>
      <c r="L46" s="22">
        <v>42.5</v>
      </c>
      <c r="M46" s="22" t="s">
        <v>84</v>
      </c>
      <c r="N46" s="22" t="s">
        <v>85</v>
      </c>
      <c r="O46" s="22" t="s">
        <v>86</v>
      </c>
      <c r="P46" s="23">
        <v>-60</v>
      </c>
      <c r="Q46" s="24">
        <v>6560</v>
      </c>
      <c r="R46" s="25">
        <v>16400</v>
      </c>
    </row>
    <row r="47" spans="2:18" x14ac:dyDescent="0.2">
      <c r="B47" s="4" t="str">
        <f>HYPERLINK("https://My.HRDantwerp.com/?report=190000023585","HRD")</f>
        <v>HRD</v>
      </c>
      <c r="C47" s="21">
        <v>1.55</v>
      </c>
      <c r="D47" s="22" t="s">
        <v>19</v>
      </c>
      <c r="E47" s="22" t="s">
        <v>41</v>
      </c>
      <c r="F47" s="22" t="s">
        <v>6</v>
      </c>
      <c r="G47" s="22" t="s">
        <v>4</v>
      </c>
      <c r="H47" s="22" t="s">
        <v>6</v>
      </c>
      <c r="I47" s="22" t="s">
        <v>5</v>
      </c>
      <c r="J47" s="22">
        <v>56</v>
      </c>
      <c r="K47" s="22">
        <v>15</v>
      </c>
      <c r="L47" s="22">
        <v>43</v>
      </c>
      <c r="M47" s="22" t="s">
        <v>126</v>
      </c>
      <c r="N47" s="22" t="s">
        <v>127</v>
      </c>
      <c r="O47" s="22" t="s">
        <v>128</v>
      </c>
      <c r="P47" s="23">
        <v>-54.17</v>
      </c>
      <c r="Q47" s="24">
        <v>4950</v>
      </c>
      <c r="R47" s="25">
        <v>10800.785511673577</v>
      </c>
    </row>
    <row r="48" spans="2:18" x14ac:dyDescent="0.2">
      <c r="B48" s="3" t="str">
        <f>HYPERLINK("http://www.GIA.edu/cs/Satellite?pagename=GST%2FDispatcher&amp;childpagename=GIA%2FPage%2FReportCheck&amp;c=Page&amp;cid=1355954554547&amp;reportno=1464675468","GIA")</f>
        <v>GIA</v>
      </c>
      <c r="C48" s="21">
        <v>1.61</v>
      </c>
      <c r="D48" s="22" t="s">
        <v>19</v>
      </c>
      <c r="E48" s="22" t="s">
        <v>39</v>
      </c>
      <c r="F48" s="22" t="s">
        <v>4</v>
      </c>
      <c r="G48" s="22" t="s">
        <v>6</v>
      </c>
      <c r="H48" s="22" t="s">
        <v>4</v>
      </c>
      <c r="I48" s="22" t="s">
        <v>7</v>
      </c>
      <c r="J48" s="22">
        <v>61</v>
      </c>
      <c r="K48" s="22">
        <v>0</v>
      </c>
      <c r="L48" s="22">
        <v>0</v>
      </c>
      <c r="M48" s="22" t="s">
        <v>135</v>
      </c>
      <c r="N48" s="22" t="s">
        <v>136</v>
      </c>
      <c r="O48" s="22" t="s">
        <v>137</v>
      </c>
      <c r="P48" s="23">
        <v>-49</v>
      </c>
      <c r="Q48" s="24">
        <v>5100</v>
      </c>
      <c r="R48" s="25">
        <v>10000</v>
      </c>
    </row>
    <row r="49" spans="2:18" x14ac:dyDescent="0.2">
      <c r="B49" s="5" t="str">
        <f>HYPERLINK("https://IGI.org/verify.php?r=583327666","IGI")</f>
        <v>IGI</v>
      </c>
      <c r="C49" s="21">
        <v>1.52</v>
      </c>
      <c r="D49" s="22" t="s">
        <v>19</v>
      </c>
      <c r="E49" s="22" t="s">
        <v>39</v>
      </c>
      <c r="F49" s="22" t="s">
        <v>6</v>
      </c>
      <c r="G49" s="22" t="s">
        <v>6</v>
      </c>
      <c r="H49" s="22" t="s">
        <v>4</v>
      </c>
      <c r="I49" s="22" t="s">
        <v>7</v>
      </c>
      <c r="J49" s="22">
        <v>58</v>
      </c>
      <c r="K49" s="22">
        <v>0</v>
      </c>
      <c r="L49" s="22">
        <v>0</v>
      </c>
      <c r="M49" s="22" t="s">
        <v>138</v>
      </c>
      <c r="N49" s="22" t="s">
        <v>139</v>
      </c>
      <c r="O49" s="22" t="s">
        <v>140</v>
      </c>
      <c r="P49" s="23">
        <v>-59.2</v>
      </c>
      <c r="Q49" s="24">
        <v>4080</v>
      </c>
      <c r="R49" s="25">
        <v>10000</v>
      </c>
    </row>
    <row r="50" spans="2:18" x14ac:dyDescent="0.2">
      <c r="B50" s="5" t="str">
        <f>HYPERLINK("https://IGI.org/verify.php?r=571384284","IGI")</f>
        <v>IGI</v>
      </c>
      <c r="C50" s="21">
        <v>1.72</v>
      </c>
      <c r="D50" s="22" t="s">
        <v>19</v>
      </c>
      <c r="E50" s="22" t="s">
        <v>43</v>
      </c>
      <c r="F50" s="22" t="s">
        <v>4</v>
      </c>
      <c r="G50" s="22" t="s">
        <v>4</v>
      </c>
      <c r="H50" s="22" t="s">
        <v>4</v>
      </c>
      <c r="I50" s="22" t="s">
        <v>13</v>
      </c>
      <c r="J50" s="22">
        <v>0</v>
      </c>
      <c r="K50" s="22">
        <v>0</v>
      </c>
      <c r="L50" s="22">
        <v>0</v>
      </c>
      <c r="M50" s="22" t="s">
        <v>153</v>
      </c>
      <c r="N50" s="22" t="s">
        <v>154</v>
      </c>
      <c r="O50" s="22" t="s">
        <v>137</v>
      </c>
      <c r="P50" s="23">
        <v>-43.51</v>
      </c>
      <c r="Q50" s="24">
        <v>4180</v>
      </c>
      <c r="R50" s="25">
        <v>7399.5397415471762</v>
      </c>
    </row>
    <row r="51" spans="2:18" x14ac:dyDescent="0.2">
      <c r="B51" s="4" t="str">
        <f>HYPERLINK("https://My.HRDantwerp.com/?report=220000083723","HRD")</f>
        <v>HRD</v>
      </c>
      <c r="C51" s="21">
        <v>1.84</v>
      </c>
      <c r="D51" s="22" t="s">
        <v>20</v>
      </c>
      <c r="E51" s="22" t="s">
        <v>39</v>
      </c>
      <c r="F51" s="22" t="s">
        <v>4</v>
      </c>
      <c r="G51" s="22" t="s">
        <v>4</v>
      </c>
      <c r="H51" s="22" t="s">
        <v>4</v>
      </c>
      <c r="I51" s="22" t="s">
        <v>9</v>
      </c>
      <c r="J51" s="22">
        <v>65</v>
      </c>
      <c r="K51" s="22">
        <v>11.5</v>
      </c>
      <c r="L51" s="22">
        <v>44</v>
      </c>
      <c r="M51" s="22" t="s">
        <v>158</v>
      </c>
      <c r="N51" s="22" t="s">
        <v>159</v>
      </c>
      <c r="O51" s="22" t="s">
        <v>160</v>
      </c>
      <c r="P51" s="23">
        <v>-48.15</v>
      </c>
      <c r="Q51" s="24">
        <v>4200</v>
      </c>
      <c r="R51" s="25">
        <v>8100.2892960462868</v>
      </c>
    </row>
    <row r="52" spans="2:18" x14ac:dyDescent="0.2">
      <c r="B52" s="4" t="str">
        <f>HYPERLINK("https://My.HRDantwerp.com/?report=13014228001","HRD")</f>
        <v>HRD</v>
      </c>
      <c r="C52" s="21">
        <v>1.64</v>
      </c>
      <c r="D52" s="22" t="s">
        <v>20</v>
      </c>
      <c r="E52" s="22" t="s">
        <v>39</v>
      </c>
      <c r="F52" s="22" t="s">
        <v>6</v>
      </c>
      <c r="G52" s="22" t="s">
        <v>4</v>
      </c>
      <c r="H52" s="22" t="s">
        <v>6</v>
      </c>
      <c r="I52" s="22" t="s">
        <v>5</v>
      </c>
      <c r="J52" s="22">
        <v>61</v>
      </c>
      <c r="K52" s="22">
        <v>12</v>
      </c>
      <c r="L52" s="22">
        <v>43.5</v>
      </c>
      <c r="M52" s="22" t="s">
        <v>161</v>
      </c>
      <c r="N52" s="22" t="s">
        <v>162</v>
      </c>
      <c r="O52" s="22" t="s">
        <v>140</v>
      </c>
      <c r="P52" s="23">
        <v>-58.52</v>
      </c>
      <c r="Q52" s="24">
        <v>3360</v>
      </c>
      <c r="R52" s="25">
        <v>8100.2892960462868</v>
      </c>
    </row>
    <row r="53" spans="2:18" x14ac:dyDescent="0.2">
      <c r="B53" s="5" t="str">
        <f>HYPERLINK("https://IGI.org/verify.php?r=F5F17419","IGI")</f>
        <v>IGI</v>
      </c>
      <c r="C53" s="21">
        <v>1.51</v>
      </c>
      <c r="D53" s="22" t="s">
        <v>20</v>
      </c>
      <c r="E53" s="22" t="s">
        <v>42</v>
      </c>
      <c r="F53" s="22" t="s">
        <v>4</v>
      </c>
      <c r="G53" s="22" t="s">
        <v>6</v>
      </c>
      <c r="H53" s="22" t="s">
        <v>4</v>
      </c>
      <c r="I53" s="22" t="s">
        <v>13</v>
      </c>
      <c r="J53" s="22">
        <v>61</v>
      </c>
      <c r="K53" s="22">
        <v>15</v>
      </c>
      <c r="L53" s="22">
        <v>43.5</v>
      </c>
      <c r="M53" s="22" t="s">
        <v>163</v>
      </c>
      <c r="N53" s="22" t="s">
        <v>164</v>
      </c>
      <c r="O53" s="22" t="s">
        <v>128</v>
      </c>
      <c r="P53" s="23">
        <v>-58.36</v>
      </c>
      <c r="Q53" s="24">
        <v>3040</v>
      </c>
      <c r="R53" s="25">
        <v>7300.6724303554274</v>
      </c>
    </row>
    <row r="54" spans="2:18" x14ac:dyDescent="0.2">
      <c r="B54" s="5" t="str">
        <f>HYPERLINK("https://IGI.org/verify.php?r=706521671","IGI")</f>
        <v>IGI</v>
      </c>
      <c r="C54" s="21">
        <v>1.5</v>
      </c>
      <c r="D54" s="22" t="s">
        <v>20</v>
      </c>
      <c r="E54" s="22" t="s">
        <v>42</v>
      </c>
      <c r="F54" s="22" t="s">
        <v>4</v>
      </c>
      <c r="G54" s="22" t="s">
        <v>4</v>
      </c>
      <c r="H54" s="22" t="s">
        <v>4</v>
      </c>
      <c r="I54" s="22" t="s">
        <v>21</v>
      </c>
      <c r="J54" s="22">
        <v>56</v>
      </c>
      <c r="K54" s="22">
        <v>0</v>
      </c>
      <c r="L54" s="22">
        <v>0</v>
      </c>
      <c r="M54" s="22" t="s">
        <v>165</v>
      </c>
      <c r="N54" s="22" t="s">
        <v>166</v>
      </c>
      <c r="O54" s="22" t="s">
        <v>167</v>
      </c>
      <c r="P54" s="23">
        <v>-65</v>
      </c>
      <c r="Q54" s="24">
        <v>2555</v>
      </c>
      <c r="R54" s="25">
        <v>7300</v>
      </c>
    </row>
    <row r="55" spans="2:18" x14ac:dyDescent="0.2">
      <c r="B55" s="4" t="str">
        <f>HYPERLINK("https://My.HRDantwerp.com/?report=190000100253","HRD")</f>
        <v>HRD</v>
      </c>
      <c r="C55" s="21">
        <v>1.59</v>
      </c>
      <c r="D55" s="22" t="s">
        <v>23</v>
      </c>
      <c r="E55" s="22" t="s">
        <v>41</v>
      </c>
      <c r="F55" s="22" t="s">
        <v>6</v>
      </c>
      <c r="G55" s="22" t="s">
        <v>6</v>
      </c>
      <c r="H55" s="22" t="s">
        <v>6</v>
      </c>
      <c r="I55" s="22" t="s">
        <v>5</v>
      </c>
      <c r="J55" s="22">
        <v>56</v>
      </c>
      <c r="K55" s="22">
        <v>0</v>
      </c>
      <c r="L55" s="22">
        <v>0</v>
      </c>
      <c r="M55" s="22" t="s">
        <v>174</v>
      </c>
      <c r="N55" s="22" t="s">
        <v>175</v>
      </c>
      <c r="O55" s="22" t="s">
        <v>176</v>
      </c>
      <c r="P55" s="23">
        <v>-52.76</v>
      </c>
      <c r="Q55" s="24">
        <v>3496</v>
      </c>
      <c r="R55" s="25">
        <v>7400.5080440304828</v>
      </c>
    </row>
    <row r="56" spans="2:18" x14ac:dyDescent="0.2">
      <c r="B56" s="4" t="str">
        <f>HYPERLINK("https://My.HRDantwerp.com/?report=190000031845","HRD")</f>
        <v>HRD</v>
      </c>
      <c r="C56" s="21">
        <v>1.56</v>
      </c>
      <c r="D56" s="22" t="s">
        <v>28</v>
      </c>
      <c r="E56" s="22" t="s">
        <v>41</v>
      </c>
      <c r="F56" s="22" t="s">
        <v>4</v>
      </c>
      <c r="G56" s="22" t="s">
        <v>4</v>
      </c>
      <c r="H56" s="22" t="s">
        <v>4</v>
      </c>
      <c r="I56" s="22" t="s">
        <v>5</v>
      </c>
      <c r="J56" s="22">
        <v>57</v>
      </c>
      <c r="K56" s="22">
        <v>15</v>
      </c>
      <c r="L56" s="22">
        <v>0</v>
      </c>
      <c r="M56" s="22" t="s">
        <v>218</v>
      </c>
      <c r="N56" s="22" t="s">
        <v>219</v>
      </c>
      <c r="O56" s="22" t="s">
        <v>140</v>
      </c>
      <c r="P56" s="23">
        <v>-46.74</v>
      </c>
      <c r="Q56" s="24">
        <v>2450</v>
      </c>
      <c r="R56" s="25">
        <v>4600.0751032669923</v>
      </c>
    </row>
    <row r="57" spans="2:18" x14ac:dyDescent="0.2">
      <c r="B57" s="5"/>
      <c r="C57" s="26" t="s">
        <v>345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6"/>
      <c r="Q57" s="20"/>
      <c r="R57" s="26"/>
    </row>
    <row r="58" spans="2:18" x14ac:dyDescent="0.2">
      <c r="B58" s="4" t="str">
        <f>HYPERLINK("https://My.HRDantwerp.com/?report=220000179246","HRD")</f>
        <v>HRD</v>
      </c>
      <c r="C58" s="21">
        <v>1.02</v>
      </c>
      <c r="D58" s="22" t="s">
        <v>2</v>
      </c>
      <c r="E58" s="22" t="s">
        <v>39</v>
      </c>
      <c r="F58" s="22" t="s">
        <v>4</v>
      </c>
      <c r="G58" s="22" t="s">
        <v>4</v>
      </c>
      <c r="H58" s="22" t="s">
        <v>4</v>
      </c>
      <c r="I58" s="22" t="s">
        <v>5</v>
      </c>
      <c r="J58" s="22">
        <v>64</v>
      </c>
      <c r="K58" s="22">
        <v>11</v>
      </c>
      <c r="L58" s="22">
        <v>44</v>
      </c>
      <c r="M58" s="22" t="s">
        <v>51</v>
      </c>
      <c r="N58" s="22" t="s">
        <v>52</v>
      </c>
      <c r="O58" s="22" t="s">
        <v>53</v>
      </c>
      <c r="P58" s="23">
        <v>-55</v>
      </c>
      <c r="Q58" s="24">
        <v>5760</v>
      </c>
      <c r="R58" s="25">
        <v>12800</v>
      </c>
    </row>
    <row r="59" spans="2:18" x14ac:dyDescent="0.2">
      <c r="B59" s="5" t="str">
        <f>HYPERLINK("https://IGI.org/verify.php?r=553245543","IGI")</f>
        <v>IGI</v>
      </c>
      <c r="C59" s="21">
        <v>1.06</v>
      </c>
      <c r="D59" s="22" t="s">
        <v>12</v>
      </c>
      <c r="E59" s="22" t="s">
        <v>41</v>
      </c>
      <c r="F59" s="22" t="s">
        <v>6</v>
      </c>
      <c r="G59" s="22" t="s">
        <v>6</v>
      </c>
      <c r="H59" s="22" t="s">
        <v>6</v>
      </c>
      <c r="I59" s="22" t="s">
        <v>13</v>
      </c>
      <c r="J59" s="22">
        <v>61</v>
      </c>
      <c r="K59" s="22">
        <v>13</v>
      </c>
      <c r="L59" s="22">
        <v>44</v>
      </c>
      <c r="M59" s="22" t="s">
        <v>63</v>
      </c>
      <c r="N59" s="22" t="s">
        <v>64</v>
      </c>
      <c r="O59" s="22" t="s">
        <v>65</v>
      </c>
      <c r="P59" s="23">
        <v>-55</v>
      </c>
      <c r="Q59" s="24">
        <v>5625</v>
      </c>
      <c r="R59" s="25">
        <v>12500</v>
      </c>
    </row>
    <row r="60" spans="2:18" x14ac:dyDescent="0.2">
      <c r="B60" s="4" t="str">
        <f>HYPERLINK("https://My.HRDantwerp.com/?report=220000172037","HRD")</f>
        <v>HRD</v>
      </c>
      <c r="C60" s="21">
        <v>1.01</v>
      </c>
      <c r="D60" s="22" t="s">
        <v>12</v>
      </c>
      <c r="E60" s="22" t="s">
        <v>41</v>
      </c>
      <c r="F60" s="22" t="s">
        <v>6</v>
      </c>
      <c r="G60" s="22" t="s">
        <v>4</v>
      </c>
      <c r="H60" s="22" t="s">
        <v>4</v>
      </c>
      <c r="I60" s="22" t="s">
        <v>5</v>
      </c>
      <c r="J60" s="22">
        <v>59</v>
      </c>
      <c r="K60" s="22">
        <v>0</v>
      </c>
      <c r="L60" s="22">
        <v>0</v>
      </c>
      <c r="M60" s="22" t="s">
        <v>66</v>
      </c>
      <c r="N60" s="22" t="s">
        <v>67</v>
      </c>
      <c r="O60" s="22" t="s">
        <v>68</v>
      </c>
      <c r="P60" s="23">
        <v>-55</v>
      </c>
      <c r="Q60" s="24">
        <v>5625</v>
      </c>
      <c r="R60" s="25">
        <v>12500</v>
      </c>
    </row>
    <row r="61" spans="2:18" x14ac:dyDescent="0.2">
      <c r="B61" s="4" t="str">
        <f>HYPERLINK("https://My.HRDantwerp.com/?report=230000090672","HRD")</f>
        <v>HRD</v>
      </c>
      <c r="C61" s="21">
        <v>1.02</v>
      </c>
      <c r="D61" s="22" t="s">
        <v>12</v>
      </c>
      <c r="E61" s="22" t="s">
        <v>42</v>
      </c>
      <c r="F61" s="22" t="s">
        <v>6</v>
      </c>
      <c r="G61" s="22" t="s">
        <v>6</v>
      </c>
      <c r="H61" s="22" t="s">
        <v>4</v>
      </c>
      <c r="I61" s="22" t="s">
        <v>5</v>
      </c>
      <c r="J61" s="22">
        <v>58</v>
      </c>
      <c r="K61" s="22">
        <v>0</v>
      </c>
      <c r="L61" s="22">
        <v>0</v>
      </c>
      <c r="M61" s="22" t="s">
        <v>75</v>
      </c>
      <c r="N61" s="22" t="s">
        <v>76</v>
      </c>
      <c r="O61" s="22" t="s">
        <v>77</v>
      </c>
      <c r="P61" s="23">
        <v>-50</v>
      </c>
      <c r="Q61" s="24">
        <v>4650</v>
      </c>
      <c r="R61" s="25">
        <v>9300</v>
      </c>
    </row>
    <row r="62" spans="2:18" x14ac:dyDescent="0.2">
      <c r="B62" s="5" t="str">
        <f>HYPERLINK("https://IGI.org/verify.php?r=324800347","IGI")</f>
        <v>IGI</v>
      </c>
      <c r="C62" s="21">
        <v>1</v>
      </c>
      <c r="D62" s="22" t="s">
        <v>12</v>
      </c>
      <c r="E62" s="22" t="s">
        <v>42</v>
      </c>
      <c r="F62" s="22" t="s">
        <v>4</v>
      </c>
      <c r="G62" s="22" t="s">
        <v>4</v>
      </c>
      <c r="H62" s="22" t="s">
        <v>3</v>
      </c>
      <c r="I62" s="22" t="s">
        <v>7</v>
      </c>
      <c r="J62" s="22">
        <v>61</v>
      </c>
      <c r="K62" s="22">
        <v>11.5</v>
      </c>
      <c r="L62" s="22">
        <v>44.5</v>
      </c>
      <c r="M62" s="22" t="s">
        <v>78</v>
      </c>
      <c r="N62" s="22" t="s">
        <v>79</v>
      </c>
      <c r="O62" s="22" t="s">
        <v>80</v>
      </c>
      <c r="P62" s="23">
        <v>-63.12</v>
      </c>
      <c r="Q62" s="24">
        <v>3430</v>
      </c>
      <c r="R62" s="25">
        <v>9300.4338394793922</v>
      </c>
    </row>
    <row r="63" spans="2:18" x14ac:dyDescent="0.2">
      <c r="B63" s="5" t="str">
        <f>HYPERLINK("https://IGI.org/verify.php?r=395967355","IGI")</f>
        <v>IGI</v>
      </c>
      <c r="C63" s="21">
        <v>1.01</v>
      </c>
      <c r="D63" s="22" t="s">
        <v>16</v>
      </c>
      <c r="E63" s="22" t="s">
        <v>39</v>
      </c>
      <c r="F63" s="22" t="s">
        <v>4</v>
      </c>
      <c r="G63" s="22" t="s">
        <v>6</v>
      </c>
      <c r="H63" s="22" t="s">
        <v>6</v>
      </c>
      <c r="I63" s="22" t="s">
        <v>7</v>
      </c>
      <c r="J63" s="22">
        <v>0</v>
      </c>
      <c r="K63" s="22">
        <v>0</v>
      </c>
      <c r="L63" s="22">
        <v>0</v>
      </c>
      <c r="M63" s="22" t="s">
        <v>87</v>
      </c>
      <c r="N63" s="22" t="s">
        <v>55</v>
      </c>
      <c r="O63" s="22" t="s">
        <v>88</v>
      </c>
      <c r="P63" s="23">
        <v>-58.76</v>
      </c>
      <c r="Q63" s="24">
        <v>4000</v>
      </c>
      <c r="R63" s="25">
        <v>9699.3210475266715</v>
      </c>
    </row>
    <row r="64" spans="2:18" x14ac:dyDescent="0.2">
      <c r="B64" s="3" t="str">
        <f>HYPERLINK("http://www.GIA.edu/cs/Satellite?pagename=GST%2FDispatcher&amp;childpagename=GIA%2FPage%2FReportCheck&amp;c=Page&amp;cid=1355954554547&amp;reportno=5151919989","GIA")</f>
        <v>GIA</v>
      </c>
      <c r="C64" s="21">
        <v>1.01</v>
      </c>
      <c r="D64" s="22" t="s">
        <v>16</v>
      </c>
      <c r="E64" s="22" t="s">
        <v>42</v>
      </c>
      <c r="F64" s="22" t="s">
        <v>14</v>
      </c>
      <c r="G64" s="22" t="s">
        <v>3</v>
      </c>
      <c r="H64" s="22" t="s">
        <v>3</v>
      </c>
      <c r="I64" s="22" t="s">
        <v>15</v>
      </c>
      <c r="J64" s="22">
        <v>58</v>
      </c>
      <c r="K64" s="22">
        <v>0</v>
      </c>
      <c r="L64" s="22">
        <v>0</v>
      </c>
      <c r="M64" s="22" t="s">
        <v>89</v>
      </c>
      <c r="N64" s="22" t="s">
        <v>90</v>
      </c>
      <c r="O64" s="22" t="s">
        <v>91</v>
      </c>
      <c r="P64" s="23">
        <v>-62.92</v>
      </c>
      <c r="Q64" s="24">
        <v>3115</v>
      </c>
      <c r="R64" s="25">
        <v>8400.7551240560952</v>
      </c>
    </row>
    <row r="65" spans="2:18" x14ac:dyDescent="0.2">
      <c r="B65" s="3" t="str">
        <f>HYPERLINK("http://www.GIA.edu/cs/Satellite?pagename=GST%2FDispatcher&amp;childpagename=GIA%2FPage%2FReportCheck&amp;c=Page&amp;cid=1355954554547&amp;reportno=5222467263","GIA")</f>
        <v>GIA</v>
      </c>
      <c r="C65" s="21">
        <v>1.31</v>
      </c>
      <c r="D65" s="22" t="s">
        <v>17</v>
      </c>
      <c r="E65" s="22" t="s">
        <v>38</v>
      </c>
      <c r="F65" s="22" t="s">
        <v>1</v>
      </c>
      <c r="G65" s="22" t="s">
        <v>3</v>
      </c>
      <c r="H65" s="22" t="s">
        <v>3</v>
      </c>
      <c r="I65" s="22" t="s">
        <v>15</v>
      </c>
      <c r="J65" s="22">
        <v>67</v>
      </c>
      <c r="K65" s="22">
        <v>0</v>
      </c>
      <c r="L65" s="22">
        <v>0</v>
      </c>
      <c r="M65" s="22" t="s">
        <v>94</v>
      </c>
      <c r="N65" s="22" t="s">
        <v>95</v>
      </c>
      <c r="O65" s="22" t="s">
        <v>96</v>
      </c>
      <c r="P65" s="23" t="s">
        <v>38</v>
      </c>
      <c r="Q65" s="24">
        <v>3500</v>
      </c>
      <c r="R65" s="25" t="s">
        <v>38</v>
      </c>
    </row>
    <row r="66" spans="2:18" x14ac:dyDescent="0.2">
      <c r="B66" s="4" t="str">
        <f>HYPERLINK("https://My.HRDantwerp.com/?report=170003073865","HRD")</f>
        <v>HRD</v>
      </c>
      <c r="C66" s="21">
        <v>1.1200000000000001</v>
      </c>
      <c r="D66" s="22" t="s">
        <v>18</v>
      </c>
      <c r="E66" s="22" t="s">
        <v>41</v>
      </c>
      <c r="F66" s="22" t="s">
        <v>4</v>
      </c>
      <c r="G66" s="22" t="s">
        <v>4</v>
      </c>
      <c r="H66" s="22" t="s">
        <v>4</v>
      </c>
      <c r="I66" s="22" t="s">
        <v>5</v>
      </c>
      <c r="J66" s="22">
        <v>64</v>
      </c>
      <c r="K66" s="22">
        <v>0</v>
      </c>
      <c r="L66" s="22">
        <v>0</v>
      </c>
      <c r="M66" s="22" t="s">
        <v>103</v>
      </c>
      <c r="N66" s="22" t="s">
        <v>104</v>
      </c>
      <c r="O66" s="22" t="s">
        <v>105</v>
      </c>
      <c r="P66" s="23">
        <v>-58.54</v>
      </c>
      <c r="Q66" s="24">
        <v>3400</v>
      </c>
      <c r="R66" s="25">
        <v>8200.6753497346836</v>
      </c>
    </row>
    <row r="67" spans="2:18" x14ac:dyDescent="0.2">
      <c r="B67" s="5" t="str">
        <f>HYPERLINK("https://IGI.org/verify.php?r=710582774","IGI")</f>
        <v>IGI</v>
      </c>
      <c r="C67" s="21">
        <v>1.01</v>
      </c>
      <c r="D67" s="22" t="s">
        <v>18</v>
      </c>
      <c r="E67" s="22" t="s">
        <v>42</v>
      </c>
      <c r="F67" s="22" t="s">
        <v>4</v>
      </c>
      <c r="G67" s="22" t="s">
        <v>4</v>
      </c>
      <c r="H67" s="22" t="s">
        <v>4</v>
      </c>
      <c r="I67" s="22" t="s">
        <v>7</v>
      </c>
      <c r="J67" s="22">
        <v>60</v>
      </c>
      <c r="K67" s="22">
        <v>0</v>
      </c>
      <c r="L67" s="22">
        <v>0</v>
      </c>
      <c r="M67" s="22" t="s">
        <v>69</v>
      </c>
      <c r="N67" s="22" t="s">
        <v>106</v>
      </c>
      <c r="O67" s="22" t="s">
        <v>107</v>
      </c>
      <c r="P67" s="23">
        <v>-60</v>
      </c>
      <c r="Q67" s="24">
        <v>2800</v>
      </c>
      <c r="R67" s="25">
        <v>7000</v>
      </c>
    </row>
    <row r="68" spans="2:18" x14ac:dyDescent="0.2">
      <c r="B68" s="5" t="str">
        <f>HYPERLINK("https://IGI.org/verify.php?r=407922417","IGI")</f>
        <v>IGI</v>
      </c>
      <c r="C68" s="21">
        <v>1.3</v>
      </c>
      <c r="D68" s="22" t="s">
        <v>19</v>
      </c>
      <c r="E68" s="22" t="s">
        <v>41</v>
      </c>
      <c r="F68" s="22" t="s">
        <v>4</v>
      </c>
      <c r="G68" s="22" t="s">
        <v>6</v>
      </c>
      <c r="H68" s="22" t="s">
        <v>4</v>
      </c>
      <c r="I68" s="22" t="s">
        <v>9</v>
      </c>
      <c r="J68" s="22">
        <v>64</v>
      </c>
      <c r="K68" s="22">
        <v>0</v>
      </c>
      <c r="L68" s="22">
        <v>0</v>
      </c>
      <c r="M68" s="22" t="s">
        <v>129</v>
      </c>
      <c r="N68" s="22" t="s">
        <v>130</v>
      </c>
      <c r="O68" s="22" t="s">
        <v>131</v>
      </c>
      <c r="P68" s="23">
        <v>-55.41</v>
      </c>
      <c r="Q68" s="24">
        <v>2720</v>
      </c>
      <c r="R68" s="25">
        <v>6100.0224265530387</v>
      </c>
    </row>
    <row r="69" spans="2:18" x14ac:dyDescent="0.2">
      <c r="B69" s="4" t="str">
        <f>HYPERLINK("https://My.HRDantwerp.com/?report=220000094699","HRD")</f>
        <v>HRD</v>
      </c>
      <c r="C69" s="21">
        <v>1.1000000000000001</v>
      </c>
      <c r="D69" s="22" t="s">
        <v>20</v>
      </c>
      <c r="E69" s="22" t="s">
        <v>41</v>
      </c>
      <c r="F69" s="22" t="s">
        <v>4</v>
      </c>
      <c r="G69" s="22" t="s">
        <v>6</v>
      </c>
      <c r="H69" s="22" t="s">
        <v>4</v>
      </c>
      <c r="I69" s="22" t="s">
        <v>5</v>
      </c>
      <c r="J69" s="22">
        <v>64</v>
      </c>
      <c r="K69" s="22">
        <v>0</v>
      </c>
      <c r="L69" s="22">
        <v>0</v>
      </c>
      <c r="M69" s="22" t="s">
        <v>155</v>
      </c>
      <c r="N69" s="22" t="s">
        <v>156</v>
      </c>
      <c r="O69" s="22" t="s">
        <v>157</v>
      </c>
      <c r="P69" s="23">
        <v>-55.38</v>
      </c>
      <c r="Q69" s="24">
        <v>2320</v>
      </c>
      <c r="R69" s="25">
        <v>5199.4621246077995</v>
      </c>
    </row>
    <row r="70" spans="2:18" x14ac:dyDescent="0.2">
      <c r="B70" s="4" t="str">
        <f>HYPERLINK("https://My.HRDantwerp.com/?report=220000172038","HRD")</f>
        <v>HRD</v>
      </c>
      <c r="C70" s="21">
        <v>1.21</v>
      </c>
      <c r="D70" s="22" t="s">
        <v>23</v>
      </c>
      <c r="E70" s="22" t="s">
        <v>39</v>
      </c>
      <c r="F70" s="22" t="s">
        <v>4</v>
      </c>
      <c r="G70" s="22" t="s">
        <v>4</v>
      </c>
      <c r="H70" s="22" t="s">
        <v>4</v>
      </c>
      <c r="I70" s="22" t="s">
        <v>5</v>
      </c>
      <c r="J70" s="22">
        <v>60</v>
      </c>
      <c r="K70" s="22">
        <v>0</v>
      </c>
      <c r="L70" s="22">
        <v>0</v>
      </c>
      <c r="M70" s="22" t="s">
        <v>180</v>
      </c>
      <c r="N70" s="22" t="s">
        <v>181</v>
      </c>
      <c r="O70" s="22" t="s">
        <v>182</v>
      </c>
      <c r="P70" s="23">
        <v>-46</v>
      </c>
      <c r="Q70" s="24">
        <v>2160</v>
      </c>
      <c r="R70" s="25">
        <v>4000</v>
      </c>
    </row>
    <row r="71" spans="2:18" x14ac:dyDescent="0.2">
      <c r="B71" s="4" t="str">
        <f>HYPERLINK("https://My.HRDantwerp.com/?report=190000037544","HRD")</f>
        <v>HRD</v>
      </c>
      <c r="C71" s="21">
        <v>1.01</v>
      </c>
      <c r="D71" s="22" t="s">
        <v>23</v>
      </c>
      <c r="E71" s="22" t="s">
        <v>39</v>
      </c>
      <c r="F71" s="22" t="s">
        <v>6</v>
      </c>
      <c r="G71" s="22" t="s">
        <v>4</v>
      </c>
      <c r="H71" s="22" t="s">
        <v>4</v>
      </c>
      <c r="I71" s="22" t="s">
        <v>5</v>
      </c>
      <c r="J71" s="22">
        <v>0</v>
      </c>
      <c r="K71" s="22">
        <v>0</v>
      </c>
      <c r="L71" s="22">
        <v>0</v>
      </c>
      <c r="M71" s="22" t="s">
        <v>183</v>
      </c>
      <c r="N71" s="22" t="s">
        <v>184</v>
      </c>
      <c r="O71" s="22" t="s">
        <v>185</v>
      </c>
      <c r="P71" s="23">
        <v>-46</v>
      </c>
      <c r="Q71" s="24">
        <v>2160</v>
      </c>
      <c r="R71" s="25">
        <v>4000</v>
      </c>
    </row>
    <row r="72" spans="2:18" x14ac:dyDescent="0.2">
      <c r="B72" s="4" t="str">
        <f>HYPERLINK("https://My.HRDantwerp.com/?report=170002071884","HRD")</f>
        <v>HRD</v>
      </c>
      <c r="C72" s="21">
        <v>1.33</v>
      </c>
      <c r="D72" s="22" t="s">
        <v>26</v>
      </c>
      <c r="E72" s="22" t="s">
        <v>39</v>
      </c>
      <c r="F72" s="22" t="s">
        <v>4</v>
      </c>
      <c r="G72" s="22" t="s">
        <v>4</v>
      </c>
      <c r="H72" s="22" t="s">
        <v>4</v>
      </c>
      <c r="I72" s="22" t="s">
        <v>9</v>
      </c>
      <c r="J72" s="22">
        <v>61</v>
      </c>
      <c r="K72" s="22">
        <v>0</v>
      </c>
      <c r="L72" s="22">
        <v>0</v>
      </c>
      <c r="M72" s="22" t="s">
        <v>195</v>
      </c>
      <c r="N72" s="22" t="s">
        <v>196</v>
      </c>
      <c r="O72" s="22" t="s">
        <v>197</v>
      </c>
      <c r="P72" s="23">
        <v>-40</v>
      </c>
      <c r="Q72" s="24">
        <v>1980</v>
      </c>
      <c r="R72" s="25">
        <v>3300</v>
      </c>
    </row>
    <row r="73" spans="2:18" x14ac:dyDescent="0.2">
      <c r="B73" s="4" t="str">
        <f>HYPERLINK("https://My.HRDantwerp.com/?report=220000172039","HRD")</f>
        <v>HRD</v>
      </c>
      <c r="C73" s="21">
        <v>1.23</v>
      </c>
      <c r="D73" s="22" t="s">
        <v>27</v>
      </c>
      <c r="E73" s="22" t="s">
        <v>39</v>
      </c>
      <c r="F73" s="22" t="s">
        <v>6</v>
      </c>
      <c r="G73" s="22" t="s">
        <v>4</v>
      </c>
      <c r="H73" s="22" t="s">
        <v>4</v>
      </c>
      <c r="I73" s="22" t="s">
        <v>15</v>
      </c>
      <c r="J73" s="22">
        <v>62</v>
      </c>
      <c r="K73" s="22">
        <v>13.5</v>
      </c>
      <c r="L73" s="22">
        <v>0</v>
      </c>
      <c r="M73" s="22" t="s">
        <v>208</v>
      </c>
      <c r="N73" s="22" t="s">
        <v>209</v>
      </c>
      <c r="O73" s="22" t="s">
        <v>210</v>
      </c>
      <c r="P73" s="23">
        <v>-37.5</v>
      </c>
      <c r="Q73" s="24">
        <v>1750</v>
      </c>
      <c r="R73" s="25">
        <v>2800</v>
      </c>
    </row>
    <row r="74" spans="2:18" x14ac:dyDescent="0.2">
      <c r="B74" s="3" t="str">
        <f>HYPERLINK("http://www.GIA.edu/cs/Satellite?pagename=GST%2FDispatcher&amp;childpagename=GIA%2FPage%2FReportCheck&amp;c=Page&amp;cid=1355954554547&amp;reportno=6451236736","GIA")</f>
        <v>GIA</v>
      </c>
      <c r="C74" s="21">
        <v>1.34</v>
      </c>
      <c r="D74" s="22" t="s">
        <v>27</v>
      </c>
      <c r="E74" s="22" t="s">
        <v>42</v>
      </c>
      <c r="F74" s="22" t="s">
        <v>6</v>
      </c>
      <c r="G74" s="22" t="s">
        <v>6</v>
      </c>
      <c r="H74" s="22" t="s">
        <v>6</v>
      </c>
      <c r="I74" s="22" t="s">
        <v>7</v>
      </c>
      <c r="J74" s="22">
        <v>60</v>
      </c>
      <c r="K74" s="22">
        <v>0</v>
      </c>
      <c r="L74" s="22">
        <v>0</v>
      </c>
      <c r="M74" s="22" t="s">
        <v>195</v>
      </c>
      <c r="N74" s="22" t="s">
        <v>196</v>
      </c>
      <c r="O74" s="22" t="s">
        <v>211</v>
      </c>
      <c r="P74" s="23">
        <v>-30.77</v>
      </c>
      <c r="Q74" s="24">
        <v>1800</v>
      </c>
      <c r="R74" s="25">
        <v>2600.0288892098802</v>
      </c>
    </row>
    <row r="75" spans="2:18" x14ac:dyDescent="0.2">
      <c r="B75" s="4" t="str">
        <f>HYPERLINK("https://My.HRDantwerp.com/?report=220000172042","HRD")</f>
        <v>HRD</v>
      </c>
      <c r="C75" s="21">
        <v>1.1200000000000001</v>
      </c>
      <c r="D75" s="22" t="s">
        <v>27</v>
      </c>
      <c r="E75" s="22" t="s">
        <v>40</v>
      </c>
      <c r="F75" s="22" t="s">
        <v>4</v>
      </c>
      <c r="G75" s="22" t="s">
        <v>4</v>
      </c>
      <c r="H75" s="22" t="s">
        <v>6</v>
      </c>
      <c r="I75" s="22" t="s">
        <v>5</v>
      </c>
      <c r="J75" s="22">
        <v>64</v>
      </c>
      <c r="K75" s="22">
        <v>11</v>
      </c>
      <c r="L75" s="22">
        <v>43.5</v>
      </c>
      <c r="M75" s="22" t="s">
        <v>214</v>
      </c>
      <c r="N75" s="22" t="s">
        <v>215</v>
      </c>
      <c r="O75" s="22" t="s">
        <v>185</v>
      </c>
      <c r="P75" s="23">
        <v>-32.799999999999997</v>
      </c>
      <c r="Q75" s="24">
        <v>1680</v>
      </c>
      <c r="R75" s="25">
        <v>2500</v>
      </c>
    </row>
    <row r="76" spans="2:18" x14ac:dyDescent="0.2">
      <c r="B76" s="4" t="str">
        <f>HYPERLINK("https://My.HRDantwerp.com/?report=210000128734","HRD")</f>
        <v>HRD</v>
      </c>
      <c r="C76" s="21">
        <v>1.2</v>
      </c>
      <c r="D76" s="22" t="s">
        <v>28</v>
      </c>
      <c r="E76" s="22" t="s">
        <v>39</v>
      </c>
      <c r="F76" s="22" t="s">
        <v>4</v>
      </c>
      <c r="G76" s="22" t="s">
        <v>6</v>
      </c>
      <c r="H76" s="22" t="s">
        <v>4</v>
      </c>
      <c r="I76" s="22" t="s">
        <v>5</v>
      </c>
      <c r="J76" s="22">
        <v>62</v>
      </c>
      <c r="K76" s="22">
        <v>11.5</v>
      </c>
      <c r="L76" s="22">
        <v>0</v>
      </c>
      <c r="M76" s="22" t="s">
        <v>220</v>
      </c>
      <c r="N76" s="22" t="s">
        <v>221</v>
      </c>
      <c r="O76" s="22" t="s">
        <v>91</v>
      </c>
      <c r="P76" s="23">
        <v>-30</v>
      </c>
      <c r="Q76" s="24">
        <v>1750</v>
      </c>
      <c r="R76" s="25">
        <v>2500</v>
      </c>
    </row>
    <row r="77" spans="2:18" x14ac:dyDescent="0.2">
      <c r="B77" s="6" t="s">
        <v>29</v>
      </c>
      <c r="C77" s="21">
        <v>1.1499999999999999</v>
      </c>
      <c r="D77" s="22" t="s">
        <v>28</v>
      </c>
      <c r="E77" s="22" t="s">
        <v>42</v>
      </c>
      <c r="F77" s="22" t="s">
        <v>1</v>
      </c>
      <c r="G77" s="22" t="s">
        <v>1</v>
      </c>
      <c r="H77" s="22" t="s">
        <v>1</v>
      </c>
      <c r="I77" s="22" t="s">
        <v>0</v>
      </c>
      <c r="J77" s="22">
        <v>0</v>
      </c>
      <c r="K77" s="22">
        <v>0</v>
      </c>
      <c r="L77" s="22">
        <v>0</v>
      </c>
      <c r="M77" s="22" t="s">
        <v>38</v>
      </c>
      <c r="N77" s="22" t="s">
        <v>38</v>
      </c>
      <c r="O77" s="22" t="s">
        <v>38</v>
      </c>
      <c r="P77" s="23">
        <v>-31.54</v>
      </c>
      <c r="Q77" s="24">
        <v>1643</v>
      </c>
      <c r="R77" s="25">
        <v>2399.9415717207125</v>
      </c>
    </row>
    <row r="78" spans="2:18" x14ac:dyDescent="0.2">
      <c r="B78" s="5" t="str">
        <f>HYPERLINK("https://IGI.org/verify.php?r=389984634","IGI")</f>
        <v>IGI</v>
      </c>
      <c r="C78" s="21">
        <v>1.17</v>
      </c>
      <c r="D78" s="22" t="s">
        <v>28</v>
      </c>
      <c r="E78" s="22" t="s">
        <v>44</v>
      </c>
      <c r="F78" s="22" t="s">
        <v>4</v>
      </c>
      <c r="G78" s="22" t="s">
        <v>6</v>
      </c>
      <c r="H78" s="22" t="s">
        <v>6</v>
      </c>
      <c r="I78" s="22" t="s">
        <v>7</v>
      </c>
      <c r="J78" s="22">
        <v>0</v>
      </c>
      <c r="K78" s="22">
        <v>0</v>
      </c>
      <c r="L78" s="22">
        <v>0</v>
      </c>
      <c r="M78" s="22" t="s">
        <v>222</v>
      </c>
      <c r="N78" s="22" t="s">
        <v>223</v>
      </c>
      <c r="O78" s="22" t="s">
        <v>224</v>
      </c>
      <c r="P78" s="23">
        <v>-37.5</v>
      </c>
      <c r="Q78" s="24">
        <v>1250</v>
      </c>
      <c r="R78" s="25">
        <v>2000</v>
      </c>
    </row>
    <row r="79" spans="2:18" x14ac:dyDescent="0.2">
      <c r="B79" s="5"/>
      <c r="C79" s="26" t="s">
        <v>344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6"/>
      <c r="Q79" s="20"/>
      <c r="R79" s="26"/>
    </row>
    <row r="80" spans="2:18" x14ac:dyDescent="0.2">
      <c r="B80" s="3" t="str">
        <f>HYPERLINK("http://www.GIA.edu/cs/Satellite?pagename=GST%2FDispatcher&amp;childpagename=GIA%2FPage%2FReportCheck&amp;c=Page&amp;cid=1355954554547&amp;reportno=2231243374","GIA")</f>
        <v>GIA</v>
      </c>
      <c r="C80" s="21">
        <v>0.93</v>
      </c>
      <c r="D80" s="22" t="s">
        <v>12</v>
      </c>
      <c r="E80" s="22" t="s">
        <v>41</v>
      </c>
      <c r="F80" s="22" t="s">
        <v>6</v>
      </c>
      <c r="G80" s="22" t="s">
        <v>6</v>
      </c>
      <c r="H80" s="22" t="s">
        <v>6</v>
      </c>
      <c r="I80" s="22" t="s">
        <v>7</v>
      </c>
      <c r="J80" s="22">
        <v>55</v>
      </c>
      <c r="K80" s="22">
        <v>0</v>
      </c>
      <c r="L80" s="22">
        <v>0</v>
      </c>
      <c r="M80" s="22" t="s">
        <v>69</v>
      </c>
      <c r="N80" s="22" t="s">
        <v>70</v>
      </c>
      <c r="O80" s="22" t="s">
        <v>71</v>
      </c>
      <c r="P80" s="23">
        <v>0</v>
      </c>
      <c r="Q80" s="24">
        <v>9500</v>
      </c>
      <c r="R80" s="25">
        <v>9500</v>
      </c>
    </row>
    <row r="81" spans="2:18" x14ac:dyDescent="0.2">
      <c r="B81" s="5" t="str">
        <f>HYPERLINK("https://IGI.org/verify.php?r=533202172","IGI")</f>
        <v>IGI</v>
      </c>
      <c r="C81" s="21">
        <v>0.93</v>
      </c>
      <c r="D81" s="22" t="s">
        <v>19</v>
      </c>
      <c r="E81" s="22" t="s">
        <v>39</v>
      </c>
      <c r="F81" s="22" t="s">
        <v>4</v>
      </c>
      <c r="G81" s="22" t="s">
        <v>6</v>
      </c>
      <c r="H81" s="22" t="s">
        <v>4</v>
      </c>
      <c r="I81" s="22" t="s">
        <v>9</v>
      </c>
      <c r="J81" s="22">
        <v>63</v>
      </c>
      <c r="K81" s="22">
        <v>12.5</v>
      </c>
      <c r="L81" s="22">
        <v>0</v>
      </c>
      <c r="M81" s="22" t="s">
        <v>141</v>
      </c>
      <c r="N81" s="22" t="s">
        <v>142</v>
      </c>
      <c r="O81" s="22" t="s">
        <v>143</v>
      </c>
      <c r="P81" s="23">
        <v>-42.71</v>
      </c>
      <c r="Q81" s="24">
        <v>2750</v>
      </c>
      <c r="R81" s="25">
        <v>4800.1396404259031</v>
      </c>
    </row>
    <row r="82" spans="2:18" x14ac:dyDescent="0.2">
      <c r="B82" s="5"/>
      <c r="C82" s="26" t="s">
        <v>343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6"/>
      <c r="Q82" s="20"/>
      <c r="R82" s="26"/>
    </row>
    <row r="83" spans="2:18" x14ac:dyDescent="0.2">
      <c r="B83" s="3" t="str">
        <f>HYPERLINK("http://www.GIA.edu/cs/Satellite?pagename=GST%2FDispatcher&amp;childpagename=GIA%2FPage%2FReportCheck&amp;c=Page&amp;cid=1355954554547&amp;reportno=1229278660","GIA")</f>
        <v>GIA</v>
      </c>
      <c r="C83" s="21">
        <v>0.7</v>
      </c>
      <c r="D83" s="22" t="s">
        <v>2</v>
      </c>
      <c r="E83" s="22" t="s">
        <v>39</v>
      </c>
      <c r="F83" s="22" t="s">
        <v>4</v>
      </c>
      <c r="G83" s="22" t="s">
        <v>6</v>
      </c>
      <c r="H83" s="22" t="s">
        <v>6</v>
      </c>
      <c r="I83" s="22" t="s">
        <v>7</v>
      </c>
      <c r="J83" s="22">
        <v>0</v>
      </c>
      <c r="K83" s="22">
        <v>0</v>
      </c>
      <c r="L83" s="22">
        <v>0</v>
      </c>
      <c r="M83" s="22" t="s">
        <v>54</v>
      </c>
      <c r="N83" s="22" t="s">
        <v>55</v>
      </c>
      <c r="O83" s="22" t="s">
        <v>56</v>
      </c>
      <c r="P83" s="23">
        <v>-45</v>
      </c>
      <c r="Q83" s="24">
        <v>3190</v>
      </c>
      <c r="R83" s="25">
        <v>5800</v>
      </c>
    </row>
    <row r="84" spans="2:18" x14ac:dyDescent="0.2">
      <c r="B84" s="4" t="str">
        <f>HYPERLINK("https://My.HRDantwerp.com/?report=250000188996","HRD")</f>
        <v>HRD</v>
      </c>
      <c r="C84" s="21">
        <v>0.8</v>
      </c>
      <c r="D84" s="22" t="s">
        <v>16</v>
      </c>
      <c r="E84" s="22" t="s">
        <v>40</v>
      </c>
      <c r="F84" s="22" t="s">
        <v>4</v>
      </c>
      <c r="G84" s="22" t="s">
        <v>4</v>
      </c>
      <c r="H84" s="22" t="s">
        <v>4</v>
      </c>
      <c r="I84" s="22" t="s">
        <v>9</v>
      </c>
      <c r="J84" s="22">
        <v>64</v>
      </c>
      <c r="K84" s="22">
        <v>0</v>
      </c>
      <c r="L84" s="22">
        <v>0</v>
      </c>
      <c r="M84" s="22" t="s">
        <v>92</v>
      </c>
      <c r="N84" s="22" t="s">
        <v>93</v>
      </c>
      <c r="O84" s="22" t="s">
        <v>56</v>
      </c>
      <c r="P84" s="23">
        <v>0</v>
      </c>
      <c r="Q84" s="24">
        <v>3500</v>
      </c>
      <c r="R84" s="25">
        <v>3500</v>
      </c>
    </row>
    <row r="85" spans="2:18" x14ac:dyDescent="0.2">
      <c r="B85" s="3" t="str">
        <f>HYPERLINK("http://www.GIA.edu/cs/Satellite?pagename=GST%2FDispatcher&amp;childpagename=GIA%2FPage%2FReportCheck&amp;c=Page&amp;cid=1355954554547&amp;reportno=2231205355","GIA")</f>
        <v>GIA</v>
      </c>
      <c r="C85" s="21">
        <v>0.74</v>
      </c>
      <c r="D85" s="22" t="s">
        <v>18</v>
      </c>
      <c r="E85" s="22" t="s">
        <v>43</v>
      </c>
      <c r="F85" s="22" t="s">
        <v>4</v>
      </c>
      <c r="G85" s="22" t="s">
        <v>6</v>
      </c>
      <c r="H85" s="22" t="s">
        <v>6</v>
      </c>
      <c r="I85" s="22" t="s">
        <v>7</v>
      </c>
      <c r="J85" s="22">
        <v>57</v>
      </c>
      <c r="K85" s="22">
        <v>0</v>
      </c>
      <c r="L85" s="22">
        <v>0</v>
      </c>
      <c r="M85" s="22" t="s">
        <v>117</v>
      </c>
      <c r="N85" s="22" t="s">
        <v>118</v>
      </c>
      <c r="O85" s="22" t="s">
        <v>119</v>
      </c>
      <c r="P85" s="23">
        <v>-33.57</v>
      </c>
      <c r="Q85" s="24">
        <v>1860</v>
      </c>
      <c r="R85" s="25">
        <v>2799.9397862411561</v>
      </c>
    </row>
    <row r="86" spans="2:18" x14ac:dyDescent="0.2">
      <c r="B86" s="3"/>
      <c r="C86" s="26" t="s">
        <v>342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6"/>
      <c r="Q86" s="20"/>
      <c r="R86" s="26"/>
    </row>
    <row r="87" spans="2:18" x14ac:dyDescent="0.2">
      <c r="B87" s="3" t="str">
        <f>HYPERLINK("http://www.GIA.edu/cs/Satellite?pagename=GST%2FDispatcher&amp;childpagename=GIA%2FPage%2FReportCheck&amp;c=Page&amp;cid=1355954554547&amp;reportno=1378149435","GIA")</f>
        <v>GIA</v>
      </c>
      <c r="C87" s="21">
        <v>0.54</v>
      </c>
      <c r="D87" s="22" t="s">
        <v>18</v>
      </c>
      <c r="E87" s="22" t="s">
        <v>40</v>
      </c>
      <c r="F87" s="22" t="s">
        <v>4</v>
      </c>
      <c r="G87" s="22" t="s">
        <v>4</v>
      </c>
      <c r="H87" s="22" t="s">
        <v>4</v>
      </c>
      <c r="I87" s="22" t="s">
        <v>7</v>
      </c>
      <c r="J87" s="22">
        <v>0</v>
      </c>
      <c r="K87" s="22">
        <v>0</v>
      </c>
      <c r="L87" s="22">
        <v>0</v>
      </c>
      <c r="M87" s="22" t="s">
        <v>108</v>
      </c>
      <c r="N87" s="22" t="s">
        <v>109</v>
      </c>
      <c r="O87" s="22" t="s">
        <v>110</v>
      </c>
      <c r="P87" s="23">
        <v>-42.71</v>
      </c>
      <c r="Q87" s="24">
        <v>1375</v>
      </c>
      <c r="R87" s="25">
        <v>2400.0698202129515</v>
      </c>
    </row>
    <row r="88" spans="2:18" x14ac:dyDescent="0.2">
      <c r="B88" s="3" t="str">
        <f>HYPERLINK("http://www.GIA.edu/cs/Satellite?pagename=GST%2FDispatcher&amp;childpagename=GIA%2FPage%2FReportCheck&amp;c=Page&amp;cid=1355954554547&amp;reportno=6461900716","GIA")</f>
        <v>GIA</v>
      </c>
      <c r="C88" s="21">
        <v>0.5</v>
      </c>
      <c r="D88" s="22" t="s">
        <v>18</v>
      </c>
      <c r="E88" s="22" t="s">
        <v>43</v>
      </c>
      <c r="F88" s="22" t="s">
        <v>6</v>
      </c>
      <c r="G88" s="22" t="s">
        <v>6</v>
      </c>
      <c r="H88" s="22" t="s">
        <v>6</v>
      </c>
      <c r="I88" s="22" t="s">
        <v>7</v>
      </c>
      <c r="J88" s="22">
        <v>56</v>
      </c>
      <c r="K88" s="22">
        <v>0</v>
      </c>
      <c r="L88" s="22">
        <v>0</v>
      </c>
      <c r="M88" s="22" t="s">
        <v>120</v>
      </c>
      <c r="N88" s="22" t="s">
        <v>121</v>
      </c>
      <c r="O88" s="22" t="s">
        <v>122</v>
      </c>
      <c r="P88" s="23">
        <v>-37.39</v>
      </c>
      <c r="Q88" s="24">
        <v>1440</v>
      </c>
      <c r="R88" s="25">
        <v>2299.9520843315763</v>
      </c>
    </row>
    <row r="89" spans="2:18" x14ac:dyDescent="0.2">
      <c r="C89" s="18" t="s">
        <v>354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8"/>
      <c r="Q89" s="20"/>
      <c r="R89" s="18"/>
    </row>
    <row r="90" spans="2:18" x14ac:dyDescent="0.2">
      <c r="B90" s="4" t="str">
        <f>HYPERLINK("https://My.HRDantwerp.com/?report=230000039778","HRD")</f>
        <v>HRD</v>
      </c>
      <c r="C90" s="21">
        <v>3.01</v>
      </c>
      <c r="D90" s="22" t="s">
        <v>18</v>
      </c>
      <c r="E90" s="22" t="s">
        <v>39</v>
      </c>
      <c r="F90" s="22" t="s">
        <v>1</v>
      </c>
      <c r="G90" s="22" t="s">
        <v>6</v>
      </c>
      <c r="H90" s="22" t="s">
        <v>6</v>
      </c>
      <c r="I90" s="22" t="s">
        <v>5</v>
      </c>
      <c r="J90" s="22">
        <v>68</v>
      </c>
      <c r="K90" s="22">
        <v>0</v>
      </c>
      <c r="L90" s="22">
        <v>0</v>
      </c>
      <c r="M90" s="22" t="s">
        <v>234</v>
      </c>
      <c r="N90" s="22" t="s">
        <v>235</v>
      </c>
      <c r="O90" s="22" t="s">
        <v>236</v>
      </c>
      <c r="P90" s="23">
        <v>-60</v>
      </c>
      <c r="Q90" s="24">
        <v>10600</v>
      </c>
      <c r="R90" s="25">
        <v>26500</v>
      </c>
    </row>
    <row r="91" spans="2:18" x14ac:dyDescent="0.2">
      <c r="B91" s="4"/>
      <c r="C91" s="26" t="s">
        <v>353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6"/>
      <c r="Q91" s="20"/>
      <c r="R91" s="26"/>
    </row>
    <row r="92" spans="2:18" x14ac:dyDescent="0.2">
      <c r="B92" s="3" t="str">
        <f>HYPERLINK("http://www.GIA.edu/cs/Satellite?pagename=GST%2FDispatcher&amp;childpagename=GIA%2FPage%2FReportCheck&amp;c=Page&amp;cid=1355954554547&amp;reportno=1182453607","GIA")</f>
        <v>GIA</v>
      </c>
      <c r="C92" s="21">
        <v>1.01</v>
      </c>
      <c r="D92" s="22" t="s">
        <v>36</v>
      </c>
      <c r="E92" s="22" t="s">
        <v>44</v>
      </c>
      <c r="F92" s="22" t="s">
        <v>1</v>
      </c>
      <c r="G92" s="22" t="s">
        <v>3</v>
      </c>
      <c r="H92" s="22" t="s">
        <v>3</v>
      </c>
      <c r="I92" s="22" t="s">
        <v>15</v>
      </c>
      <c r="J92" s="22">
        <v>64</v>
      </c>
      <c r="K92" s="22">
        <v>0</v>
      </c>
      <c r="L92" s="22">
        <v>0</v>
      </c>
      <c r="M92" s="22" t="s">
        <v>231</v>
      </c>
      <c r="N92" s="22" t="s">
        <v>232</v>
      </c>
      <c r="O92" s="22" t="s">
        <v>233</v>
      </c>
      <c r="P92" s="23">
        <v>-34.450000000000003</v>
      </c>
      <c r="Q92" s="24">
        <v>2622</v>
      </c>
      <c r="R92" s="25">
        <v>4000</v>
      </c>
    </row>
    <row r="93" spans="2:18" x14ac:dyDescent="0.2">
      <c r="B93" s="4" t="str">
        <f>HYPERLINK("https://My.HRDantwerp.com/?report=230000045687","HRD")</f>
        <v>HRD</v>
      </c>
      <c r="C93" s="21">
        <v>1.01</v>
      </c>
      <c r="D93" s="22" t="s">
        <v>18</v>
      </c>
      <c r="E93" s="22" t="s">
        <v>42</v>
      </c>
      <c r="F93" s="22" t="s">
        <v>1</v>
      </c>
      <c r="G93" s="22" t="s">
        <v>6</v>
      </c>
      <c r="H93" s="22" t="s">
        <v>4</v>
      </c>
      <c r="I93" s="22" t="s">
        <v>9</v>
      </c>
      <c r="J93" s="22">
        <v>62</v>
      </c>
      <c r="K93" s="22">
        <v>0</v>
      </c>
      <c r="L93" s="22">
        <v>0</v>
      </c>
      <c r="M93" s="22" t="s">
        <v>237</v>
      </c>
      <c r="N93" s="22" t="s">
        <v>238</v>
      </c>
      <c r="O93" s="22" t="s">
        <v>239</v>
      </c>
      <c r="P93" s="23">
        <v>-57.76</v>
      </c>
      <c r="Q93" s="24">
        <v>2450</v>
      </c>
      <c r="R93" s="25">
        <v>5800.189393939394</v>
      </c>
    </row>
    <row r="94" spans="2:18" x14ac:dyDescent="0.2">
      <c r="B94" s="3" t="str">
        <f>HYPERLINK("http://www.GIA.edu/cs/Satellite?pagename=GST%2FDispatcher&amp;childpagename=GIA%2FPage%2FReportCheck&amp;c=Page&amp;cid=1355954554547&amp;reportno=5192376103","GIA")</f>
        <v>GIA</v>
      </c>
      <c r="C94" s="21">
        <v>1.01</v>
      </c>
      <c r="D94" s="22" t="s">
        <v>19</v>
      </c>
      <c r="E94" s="22" t="s">
        <v>44</v>
      </c>
      <c r="F94" s="22" t="s">
        <v>1</v>
      </c>
      <c r="G94" s="22" t="s">
        <v>3</v>
      </c>
      <c r="H94" s="22" t="s">
        <v>3</v>
      </c>
      <c r="I94" s="22" t="s">
        <v>7</v>
      </c>
      <c r="J94" s="22">
        <v>71</v>
      </c>
      <c r="K94" s="22">
        <v>0</v>
      </c>
      <c r="L94" s="22">
        <v>0</v>
      </c>
      <c r="M94" s="22" t="s">
        <v>251</v>
      </c>
      <c r="N94" s="22" t="s">
        <v>252</v>
      </c>
      <c r="O94" s="22" t="s">
        <v>253</v>
      </c>
      <c r="P94" s="23">
        <v>-55</v>
      </c>
      <c r="Q94" s="24">
        <v>1620</v>
      </c>
      <c r="R94" s="25">
        <v>3600</v>
      </c>
    </row>
    <row r="95" spans="2:18" x14ac:dyDescent="0.2">
      <c r="B95" s="3"/>
      <c r="C95" s="26" t="s">
        <v>352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6"/>
      <c r="Q95" s="20"/>
      <c r="R95" s="26"/>
    </row>
    <row r="96" spans="2:18" x14ac:dyDescent="0.2">
      <c r="B96" s="4" t="str">
        <f>HYPERLINK("https://My.HRDantwerp.com/?report=230000160440","HRD")</f>
        <v>HRD</v>
      </c>
      <c r="C96" s="21">
        <v>0.93</v>
      </c>
      <c r="D96" s="22" t="s">
        <v>18</v>
      </c>
      <c r="E96" s="22" t="s">
        <v>42</v>
      </c>
      <c r="F96" s="22" t="s">
        <v>1</v>
      </c>
      <c r="G96" s="22" t="s">
        <v>6</v>
      </c>
      <c r="H96" s="22" t="s">
        <v>4</v>
      </c>
      <c r="I96" s="22" t="s">
        <v>5</v>
      </c>
      <c r="J96" s="22">
        <v>61</v>
      </c>
      <c r="K96" s="22">
        <v>0</v>
      </c>
      <c r="L96" s="22">
        <v>0</v>
      </c>
      <c r="M96" s="22" t="s">
        <v>240</v>
      </c>
      <c r="N96" s="22" t="s">
        <v>241</v>
      </c>
      <c r="O96" s="22" t="s">
        <v>242</v>
      </c>
      <c r="P96" s="23">
        <v>-59.13</v>
      </c>
      <c r="Q96" s="24">
        <v>1880</v>
      </c>
      <c r="R96" s="25">
        <v>4599.95106435038</v>
      </c>
    </row>
    <row r="97" spans="2:18" x14ac:dyDescent="0.2">
      <c r="B97" s="4" t="str">
        <f>HYPERLINK("https://My.HRDantwerp.com/?report=230000045685","HRD")</f>
        <v>HRD</v>
      </c>
      <c r="C97" s="21">
        <v>0.9</v>
      </c>
      <c r="D97" s="22" t="s">
        <v>18</v>
      </c>
      <c r="E97" s="22" t="s">
        <v>40</v>
      </c>
      <c r="F97" s="22" t="s">
        <v>1</v>
      </c>
      <c r="G97" s="22" t="s">
        <v>6</v>
      </c>
      <c r="H97" s="22" t="s">
        <v>4</v>
      </c>
      <c r="I97" s="22" t="s">
        <v>8</v>
      </c>
      <c r="J97" s="22">
        <v>63</v>
      </c>
      <c r="K97" s="22">
        <v>0</v>
      </c>
      <c r="L97" s="22">
        <v>0</v>
      </c>
      <c r="M97" s="22" t="s">
        <v>246</v>
      </c>
      <c r="N97" s="22" t="s">
        <v>70</v>
      </c>
      <c r="O97" s="22" t="s">
        <v>247</v>
      </c>
      <c r="P97" s="23">
        <v>-59.07</v>
      </c>
      <c r="Q97" s="24">
        <v>1760</v>
      </c>
      <c r="R97" s="25">
        <v>4300.0244319570002</v>
      </c>
    </row>
    <row r="98" spans="2:18" x14ac:dyDescent="0.2">
      <c r="B98" s="3" t="str">
        <f>HYPERLINK("http://www.GIA.edu/cs/Satellite?pagename=GST%2FDispatcher&amp;childpagename=GIA%2FPage%2FReportCheck&amp;c=Page&amp;cid=1355954554547&amp;reportno=6462300245","GIA")</f>
        <v>GIA</v>
      </c>
      <c r="C98" s="21">
        <v>0.92</v>
      </c>
      <c r="D98" s="22" t="s">
        <v>19</v>
      </c>
      <c r="E98" s="22" t="s">
        <v>40</v>
      </c>
      <c r="F98" s="22" t="s">
        <v>1</v>
      </c>
      <c r="G98" s="22" t="s">
        <v>6</v>
      </c>
      <c r="H98" s="22" t="s">
        <v>6</v>
      </c>
      <c r="I98" s="22" t="s">
        <v>7</v>
      </c>
      <c r="J98" s="22">
        <v>62</v>
      </c>
      <c r="K98" s="22">
        <v>0</v>
      </c>
      <c r="L98" s="22">
        <v>0</v>
      </c>
      <c r="M98" s="22" t="s">
        <v>248</v>
      </c>
      <c r="N98" s="22" t="s">
        <v>249</v>
      </c>
      <c r="O98" s="22" t="s">
        <v>250</v>
      </c>
      <c r="P98" s="23">
        <v>-58.97</v>
      </c>
      <c r="Q98" s="24">
        <v>1600</v>
      </c>
      <c r="R98" s="25">
        <v>3899.585669022666</v>
      </c>
    </row>
    <row r="99" spans="2:18" x14ac:dyDescent="0.2">
      <c r="B99" s="4"/>
      <c r="C99" s="26" t="s">
        <v>351</v>
      </c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6"/>
      <c r="Q99" s="20"/>
      <c r="R99" s="26"/>
    </row>
    <row r="100" spans="2:18" x14ac:dyDescent="0.2">
      <c r="B100" s="3" t="str">
        <f>HYPERLINK("http://www.GIA.edu/cs/Satellite?pagename=GST%2FDispatcher&amp;childpagename=GIA%2FPage%2FReportCheck&amp;c=Page&amp;cid=1355954554547&amp;reportno=1438866916","GIA")</f>
        <v>GIA</v>
      </c>
      <c r="C100" s="21">
        <v>0.76</v>
      </c>
      <c r="D100" s="22" t="s">
        <v>18</v>
      </c>
      <c r="E100" s="22" t="s">
        <v>42</v>
      </c>
      <c r="F100" s="22" t="s">
        <v>1</v>
      </c>
      <c r="G100" s="22" t="s">
        <v>6</v>
      </c>
      <c r="H100" s="22" t="s">
        <v>6</v>
      </c>
      <c r="I100" s="22" t="s">
        <v>11</v>
      </c>
      <c r="J100" s="22">
        <v>63</v>
      </c>
      <c r="K100" s="22">
        <v>0</v>
      </c>
      <c r="L100" s="22">
        <v>0</v>
      </c>
      <c r="M100" s="22" t="s">
        <v>243</v>
      </c>
      <c r="N100" s="22" t="s">
        <v>244</v>
      </c>
      <c r="O100" s="22" t="s">
        <v>245</v>
      </c>
      <c r="P100" s="23">
        <v>-58.79</v>
      </c>
      <c r="Q100" s="24">
        <v>1360</v>
      </c>
      <c r="R100" s="25">
        <v>3300.1698616840572</v>
      </c>
    </row>
    <row r="101" spans="2:18" x14ac:dyDescent="0.2">
      <c r="C101" s="18" t="s">
        <v>357</v>
      </c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8"/>
      <c r="Q101" s="20"/>
      <c r="R101" s="18"/>
    </row>
    <row r="102" spans="2:18" x14ac:dyDescent="0.2">
      <c r="B102" s="4" t="str">
        <f>HYPERLINK("https://My.HRDantwerp.com/?report=250000016238","HRD")</f>
        <v>HRD</v>
      </c>
      <c r="C102" s="21">
        <v>4.09</v>
      </c>
      <c r="D102" s="22" t="s">
        <v>18</v>
      </c>
      <c r="E102" s="22" t="s">
        <v>42</v>
      </c>
      <c r="F102" s="22" t="s">
        <v>1</v>
      </c>
      <c r="G102" s="22" t="s">
        <v>4</v>
      </c>
      <c r="H102" s="22" t="s">
        <v>6</v>
      </c>
      <c r="I102" s="22" t="s">
        <v>5</v>
      </c>
      <c r="J102" s="22">
        <v>6.3</v>
      </c>
      <c r="K102" s="22">
        <v>14.5</v>
      </c>
      <c r="L102" s="22">
        <v>0</v>
      </c>
      <c r="M102" s="22" t="s">
        <v>333</v>
      </c>
      <c r="N102" s="22" t="s">
        <v>334</v>
      </c>
      <c r="O102" s="22" t="s">
        <v>335</v>
      </c>
      <c r="P102" s="23">
        <v>-70</v>
      </c>
      <c r="Q102" s="24">
        <v>9600</v>
      </c>
      <c r="R102" s="25">
        <v>32000</v>
      </c>
    </row>
    <row r="103" spans="2:18" x14ac:dyDescent="0.2">
      <c r="B103" s="4"/>
      <c r="C103" s="26" t="s">
        <v>356</v>
      </c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6"/>
      <c r="Q103" s="20"/>
      <c r="R103" s="26"/>
    </row>
    <row r="104" spans="2:18" x14ac:dyDescent="0.2">
      <c r="B104" s="3" t="str">
        <f>HYPERLINK("http://www.GIA.edu/cs/Satellite?pagename=GST%2FDispatcher&amp;childpagename=GIA%2FPage%2FReportCheck&amp;c=Page&amp;cid=1355954554547&amp;reportno=6451184293","GIA")</f>
        <v>GIA</v>
      </c>
      <c r="C104" s="21">
        <v>3.21</v>
      </c>
      <c r="D104" s="22" t="s">
        <v>20</v>
      </c>
      <c r="E104" s="22" t="s">
        <v>39</v>
      </c>
      <c r="F104" s="22" t="s">
        <v>1</v>
      </c>
      <c r="G104" s="22" t="s">
        <v>6</v>
      </c>
      <c r="H104" s="22" t="s">
        <v>6</v>
      </c>
      <c r="I104" s="22" t="s">
        <v>7</v>
      </c>
      <c r="J104" s="22">
        <v>69</v>
      </c>
      <c r="K104" s="22">
        <v>0</v>
      </c>
      <c r="L104" s="22">
        <v>0</v>
      </c>
      <c r="M104" s="22" t="s">
        <v>259</v>
      </c>
      <c r="N104" s="22" t="s">
        <v>260</v>
      </c>
      <c r="O104" s="22" t="s">
        <v>125</v>
      </c>
      <c r="P104" s="23">
        <v>-50</v>
      </c>
      <c r="Q104" s="24">
        <v>9250</v>
      </c>
      <c r="R104" s="25">
        <v>18500</v>
      </c>
    </row>
    <row r="105" spans="2:18" x14ac:dyDescent="0.2">
      <c r="B105" s="3" t="str">
        <f>HYPERLINK("http://www.GIA.edu/cs/Satellite?pagename=GST%2FDispatcher&amp;childpagename=GIA%2FPage%2FReportCheck&amp;c=Page&amp;cid=1355954554547&amp;reportno=2221946887","GIA")</f>
        <v>GIA</v>
      </c>
      <c r="C105" s="21">
        <v>3.93</v>
      </c>
      <c r="D105" s="22" t="s">
        <v>20</v>
      </c>
      <c r="E105" s="22" t="s">
        <v>42</v>
      </c>
      <c r="F105" s="22" t="s">
        <v>1</v>
      </c>
      <c r="G105" s="22" t="s">
        <v>4</v>
      </c>
      <c r="H105" s="22" t="s">
        <v>4</v>
      </c>
      <c r="I105" s="22" t="s">
        <v>7</v>
      </c>
      <c r="J105" s="22">
        <v>60</v>
      </c>
      <c r="K105" s="22">
        <v>0</v>
      </c>
      <c r="L105" s="22">
        <v>0</v>
      </c>
      <c r="M105" s="22" t="s">
        <v>97</v>
      </c>
      <c r="N105" s="22" t="s">
        <v>235</v>
      </c>
      <c r="O105" s="22" t="s">
        <v>261</v>
      </c>
      <c r="P105" s="23">
        <v>-45</v>
      </c>
      <c r="Q105" s="24">
        <v>9625</v>
      </c>
      <c r="R105" s="25">
        <v>17500</v>
      </c>
    </row>
    <row r="106" spans="2:18" x14ac:dyDescent="0.2">
      <c r="B106" s="3"/>
      <c r="C106" s="26" t="s">
        <v>355</v>
      </c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6"/>
      <c r="Q106" s="20"/>
      <c r="R106" s="26"/>
    </row>
    <row r="107" spans="2:18" x14ac:dyDescent="0.2">
      <c r="B107" s="3" t="str">
        <f>HYPERLINK("http://www.GIA.edu/cs/Satellite?pagename=GST%2FDispatcher&amp;childpagename=GIA%2FPage%2FReportCheck&amp;c=Page&amp;cid=1355954554547&amp;reportno=2185775470","GIA")</f>
        <v>GIA</v>
      </c>
      <c r="C107" s="21">
        <v>1.01</v>
      </c>
      <c r="D107" s="22" t="s">
        <v>2</v>
      </c>
      <c r="E107" s="22" t="s">
        <v>43</v>
      </c>
      <c r="F107" s="22" t="s">
        <v>1</v>
      </c>
      <c r="G107" s="22" t="s">
        <v>6</v>
      </c>
      <c r="H107" s="22" t="s">
        <v>4</v>
      </c>
      <c r="I107" s="22" t="s">
        <v>8</v>
      </c>
      <c r="J107" s="22">
        <v>68</v>
      </c>
      <c r="K107" s="22">
        <v>0</v>
      </c>
      <c r="L107" s="22">
        <v>0</v>
      </c>
      <c r="M107" s="22" t="s">
        <v>254</v>
      </c>
      <c r="N107" s="22" t="s">
        <v>255</v>
      </c>
      <c r="O107" s="22" t="s">
        <v>233</v>
      </c>
      <c r="P107" s="23">
        <v>-37.96</v>
      </c>
      <c r="Q107" s="24">
        <v>3536</v>
      </c>
      <c r="R107" s="25">
        <v>5699.5486782720827</v>
      </c>
    </row>
    <row r="108" spans="2:18" x14ac:dyDescent="0.2">
      <c r="B108" s="3" t="str">
        <f>HYPERLINK("http://www.GIA.edu/cs/Satellite?pagename=GST%2FDispatcher&amp;childpagename=GIA%2FPage%2FReportCheck&amp;c=Page&amp;cid=1355954554547&amp;reportno=2185775474","GIA")</f>
        <v>GIA</v>
      </c>
      <c r="C108" s="21">
        <v>1.02</v>
      </c>
      <c r="D108" s="22" t="s">
        <v>12</v>
      </c>
      <c r="E108" s="22" t="s">
        <v>43</v>
      </c>
      <c r="F108" s="22" t="s">
        <v>1</v>
      </c>
      <c r="G108" s="22" t="s">
        <v>6</v>
      </c>
      <c r="H108" s="22" t="s">
        <v>4</v>
      </c>
      <c r="I108" s="22" t="s">
        <v>7</v>
      </c>
      <c r="J108" s="22">
        <v>69</v>
      </c>
      <c r="K108" s="22">
        <v>0</v>
      </c>
      <c r="L108" s="22">
        <v>0</v>
      </c>
      <c r="M108" s="22" t="s">
        <v>256</v>
      </c>
      <c r="N108" s="22" t="s">
        <v>257</v>
      </c>
      <c r="O108" s="22" t="s">
        <v>258</v>
      </c>
      <c r="P108" s="23">
        <v>-35</v>
      </c>
      <c r="Q108" s="24">
        <v>3510</v>
      </c>
      <c r="R108" s="25">
        <v>5400</v>
      </c>
    </row>
    <row r="109" spans="2:18" x14ac:dyDescent="0.2">
      <c r="C109" s="18" t="s">
        <v>359</v>
      </c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8"/>
      <c r="Q109" s="20"/>
      <c r="R109" s="18"/>
    </row>
    <row r="110" spans="2:18" x14ac:dyDescent="0.2">
      <c r="B110" s="4" t="str">
        <f>HYPERLINK("https://My.HRDantwerp.com/?report=220000043744","HRD")</f>
        <v>HRD</v>
      </c>
      <c r="C110" s="21">
        <v>5.17</v>
      </c>
      <c r="D110" s="22" t="s">
        <v>19</v>
      </c>
      <c r="E110" s="22" t="s">
        <v>46</v>
      </c>
      <c r="F110" s="22" t="s">
        <v>1</v>
      </c>
      <c r="G110" s="22" t="s">
        <v>6</v>
      </c>
      <c r="H110" s="22" t="s">
        <v>4</v>
      </c>
      <c r="I110" s="22" t="s">
        <v>5</v>
      </c>
      <c r="J110" s="22">
        <v>59</v>
      </c>
      <c r="K110" s="22">
        <v>16.5</v>
      </c>
      <c r="L110" s="22">
        <v>44</v>
      </c>
      <c r="M110" s="22" t="s">
        <v>264</v>
      </c>
      <c r="N110" s="22" t="s">
        <v>265</v>
      </c>
      <c r="O110" s="22" t="s">
        <v>266</v>
      </c>
      <c r="P110" s="23">
        <v>-65.239999999999995</v>
      </c>
      <c r="Q110" s="24">
        <v>7125</v>
      </c>
      <c r="R110" s="25">
        <v>20497.698504027616</v>
      </c>
    </row>
    <row r="111" spans="2:18" x14ac:dyDescent="0.2">
      <c r="B111" s="4"/>
      <c r="C111" s="26" t="s">
        <v>358</v>
      </c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6"/>
      <c r="Q111" s="20"/>
      <c r="R111" s="26"/>
    </row>
    <row r="112" spans="2:18" x14ac:dyDescent="0.2">
      <c r="B112" s="4" t="str">
        <f>HYPERLINK("https://My.HRDantwerp.com/?report=220000041391","HRD")</f>
        <v>HRD</v>
      </c>
      <c r="C112" s="21">
        <v>0.98</v>
      </c>
      <c r="D112" s="22" t="s">
        <v>19</v>
      </c>
      <c r="E112" s="22" t="s">
        <v>43</v>
      </c>
      <c r="F112" s="22" t="s">
        <v>1</v>
      </c>
      <c r="G112" s="22" t="s">
        <v>4</v>
      </c>
      <c r="H112" s="22" t="s">
        <v>3</v>
      </c>
      <c r="I112" s="22" t="s">
        <v>5</v>
      </c>
      <c r="J112" s="22">
        <v>60</v>
      </c>
      <c r="K112" s="22">
        <v>0</v>
      </c>
      <c r="L112" s="22">
        <v>0</v>
      </c>
      <c r="M112" s="22" t="s">
        <v>129</v>
      </c>
      <c r="N112" s="22" t="s">
        <v>262</v>
      </c>
      <c r="O112" s="22" t="s">
        <v>263</v>
      </c>
      <c r="P112" s="23">
        <v>-20</v>
      </c>
      <c r="Q112" s="24">
        <v>2800</v>
      </c>
      <c r="R112" s="25">
        <v>3500</v>
      </c>
    </row>
    <row r="113" spans="2:18" x14ac:dyDescent="0.2">
      <c r="C113" s="18" t="s">
        <v>363</v>
      </c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8"/>
      <c r="Q113" s="20"/>
      <c r="R113" s="18"/>
    </row>
    <row r="114" spans="2:18" x14ac:dyDescent="0.2">
      <c r="B114" s="3" t="str">
        <f>HYPERLINK("http://www.GIA.edu/cs/Satellite?pagename=GST%2FDispatcher&amp;childpagename=GIA%2FPage%2FReportCheck&amp;c=Page&amp;cid=1355954554547&amp;reportno=2225844136","GIA")</f>
        <v>GIA</v>
      </c>
      <c r="C114" s="21">
        <v>5.01</v>
      </c>
      <c r="D114" s="22" t="s">
        <v>12</v>
      </c>
      <c r="E114" s="22" t="s">
        <v>39</v>
      </c>
      <c r="F114" s="22" t="s">
        <v>1</v>
      </c>
      <c r="G114" s="22" t="s">
        <v>6</v>
      </c>
      <c r="H114" s="22" t="s">
        <v>4</v>
      </c>
      <c r="I114" s="22" t="s">
        <v>7</v>
      </c>
      <c r="J114" s="22">
        <v>60</v>
      </c>
      <c r="K114" s="22">
        <v>0</v>
      </c>
      <c r="L114" s="22">
        <v>0</v>
      </c>
      <c r="M114" s="22" t="s">
        <v>270</v>
      </c>
      <c r="N114" s="22" t="s">
        <v>271</v>
      </c>
      <c r="O114" s="22" t="s">
        <v>272</v>
      </c>
      <c r="P114" s="23">
        <v>-48</v>
      </c>
      <c r="Q114" s="24">
        <v>30160</v>
      </c>
      <c r="R114" s="25">
        <v>58000</v>
      </c>
    </row>
    <row r="115" spans="2:18" x14ac:dyDescent="0.2">
      <c r="B115" s="3"/>
      <c r="C115" s="26" t="s">
        <v>362</v>
      </c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6"/>
      <c r="Q115" s="20"/>
      <c r="R115" s="26"/>
    </row>
    <row r="116" spans="2:18" x14ac:dyDescent="0.2">
      <c r="B116" s="4" t="str">
        <f>HYPERLINK("https://My.HRDantwerp.com/?report=180000067796","HRD")</f>
        <v>HRD</v>
      </c>
      <c r="C116" s="21">
        <v>1.58</v>
      </c>
      <c r="D116" s="22" t="s">
        <v>26</v>
      </c>
      <c r="E116" s="22" t="s">
        <v>39</v>
      </c>
      <c r="F116" s="22" t="s">
        <v>1</v>
      </c>
      <c r="G116" s="22" t="s">
        <v>4</v>
      </c>
      <c r="H116" s="22" t="s">
        <v>4</v>
      </c>
      <c r="I116" s="22" t="s">
        <v>5</v>
      </c>
      <c r="J116" s="22">
        <v>59</v>
      </c>
      <c r="K116" s="22">
        <v>0</v>
      </c>
      <c r="L116" s="22">
        <v>0</v>
      </c>
      <c r="M116" s="22" t="s">
        <v>276</v>
      </c>
      <c r="N116" s="22" t="s">
        <v>277</v>
      </c>
      <c r="O116" s="22" t="s">
        <v>278</v>
      </c>
      <c r="P116" s="23">
        <v>-55.32</v>
      </c>
      <c r="Q116" s="24">
        <v>2100</v>
      </c>
      <c r="R116" s="25">
        <v>4700.0895255147716</v>
      </c>
    </row>
    <row r="117" spans="2:18" x14ac:dyDescent="0.2">
      <c r="B117" s="4" t="str">
        <f>HYPERLINK("https://My.HRDantwerp.com/?report=210000171713","HRD")</f>
        <v>HRD</v>
      </c>
      <c r="C117" s="21">
        <v>1.56</v>
      </c>
      <c r="D117" s="22" t="s">
        <v>26</v>
      </c>
      <c r="E117" s="22" t="s">
        <v>46</v>
      </c>
      <c r="F117" s="22" t="s">
        <v>1</v>
      </c>
      <c r="G117" s="22" t="s">
        <v>6</v>
      </c>
      <c r="H117" s="22" t="s">
        <v>3</v>
      </c>
      <c r="I117" s="22" t="s">
        <v>5</v>
      </c>
      <c r="J117" s="22">
        <v>56</v>
      </c>
      <c r="K117" s="22">
        <v>0</v>
      </c>
      <c r="L117" s="22">
        <v>0</v>
      </c>
      <c r="M117" s="22" t="s">
        <v>279</v>
      </c>
      <c r="N117" s="22" t="s">
        <v>280</v>
      </c>
      <c r="O117" s="22" t="s">
        <v>68</v>
      </c>
      <c r="P117" s="23">
        <v>-43.24</v>
      </c>
      <c r="Q117" s="24">
        <v>2100</v>
      </c>
      <c r="R117" s="25">
        <v>3699.788583509514</v>
      </c>
    </row>
    <row r="118" spans="2:18" x14ac:dyDescent="0.2">
      <c r="B118" s="4"/>
      <c r="C118" s="26" t="s">
        <v>361</v>
      </c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6"/>
      <c r="Q118" s="20"/>
      <c r="R118" s="26"/>
    </row>
    <row r="119" spans="2:18" x14ac:dyDescent="0.2">
      <c r="B119" s="4" t="str">
        <f>HYPERLINK("https://My.HRDantwerp.com/?report=12028306001","HRD")</f>
        <v>HRD</v>
      </c>
      <c r="C119" s="21">
        <v>1.07</v>
      </c>
      <c r="D119" s="22" t="s">
        <v>2</v>
      </c>
      <c r="E119" s="22" t="s">
        <v>41</v>
      </c>
      <c r="F119" s="22" t="s">
        <v>1</v>
      </c>
      <c r="G119" s="22" t="s">
        <v>4</v>
      </c>
      <c r="H119" s="22" t="s">
        <v>3</v>
      </c>
      <c r="I119" s="22" t="s">
        <v>5</v>
      </c>
      <c r="J119" s="22">
        <v>64</v>
      </c>
      <c r="K119" s="22">
        <v>13.5</v>
      </c>
      <c r="L119" s="22">
        <v>48.5</v>
      </c>
      <c r="M119" s="22" t="s">
        <v>267</v>
      </c>
      <c r="N119" s="22" t="s">
        <v>268</v>
      </c>
      <c r="O119" s="22" t="s">
        <v>269</v>
      </c>
      <c r="P119" s="23">
        <v>-51.13</v>
      </c>
      <c r="Q119" s="24">
        <v>4545</v>
      </c>
      <c r="R119" s="25">
        <v>9300.1841620626146</v>
      </c>
    </row>
    <row r="120" spans="2:18" x14ac:dyDescent="0.2">
      <c r="B120" s="4"/>
      <c r="C120" s="26" t="s">
        <v>360</v>
      </c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6"/>
      <c r="Q120" s="20"/>
      <c r="R120" s="26"/>
    </row>
    <row r="121" spans="2:18" x14ac:dyDescent="0.2">
      <c r="B121" s="5" t="str">
        <f>HYPERLINK("https://IGI.org/verify.php?r=510169206","IGI")</f>
        <v>IGI</v>
      </c>
      <c r="C121" s="21">
        <v>0.69</v>
      </c>
      <c r="D121" s="22" t="s">
        <v>12</v>
      </c>
      <c r="E121" s="22" t="s">
        <v>40</v>
      </c>
      <c r="F121" s="22" t="s">
        <v>1</v>
      </c>
      <c r="G121" s="22" t="s">
        <v>3</v>
      </c>
      <c r="H121" s="22" t="s">
        <v>3</v>
      </c>
      <c r="I121" s="22" t="s">
        <v>13</v>
      </c>
      <c r="J121" s="22">
        <v>0</v>
      </c>
      <c r="K121" s="22">
        <v>0</v>
      </c>
      <c r="L121" s="22">
        <v>0</v>
      </c>
      <c r="M121" s="22" t="s">
        <v>273</v>
      </c>
      <c r="N121" s="22" t="s">
        <v>274</v>
      </c>
      <c r="O121" s="22" t="s">
        <v>275</v>
      </c>
      <c r="P121" s="23">
        <v>-37</v>
      </c>
      <c r="Q121" s="24">
        <v>1575</v>
      </c>
      <c r="R121" s="25">
        <v>2500</v>
      </c>
    </row>
    <row r="122" spans="2:18" x14ac:dyDescent="0.2">
      <c r="C122" s="18" t="s">
        <v>377</v>
      </c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8"/>
      <c r="Q122" s="20"/>
      <c r="R122" s="18"/>
    </row>
    <row r="123" spans="2:18" x14ac:dyDescent="0.2">
      <c r="B123" s="3" t="str">
        <f>HYPERLINK("http://www.GIA.edu/cs/Satellite?pagename=GST%2FDispatcher&amp;childpagename=GIA%2FPage%2FReportCheck&amp;c=Page&amp;cid=1355954554547&amp;reportno=5222877834","GIA")</f>
        <v>GIA</v>
      </c>
      <c r="C123" s="21">
        <v>2.7</v>
      </c>
      <c r="D123" s="22" t="s">
        <v>2</v>
      </c>
      <c r="E123" s="22" t="s">
        <v>44</v>
      </c>
      <c r="F123" s="22" t="s">
        <v>1</v>
      </c>
      <c r="G123" s="22" t="s">
        <v>3</v>
      </c>
      <c r="H123" s="22" t="s">
        <v>22</v>
      </c>
      <c r="I123" s="22" t="s">
        <v>15</v>
      </c>
      <c r="J123" s="22">
        <v>52</v>
      </c>
      <c r="K123" s="22">
        <v>0</v>
      </c>
      <c r="L123" s="22">
        <v>0</v>
      </c>
      <c r="M123" s="22" t="s">
        <v>281</v>
      </c>
      <c r="N123" s="22" t="s">
        <v>282</v>
      </c>
      <c r="O123" s="22" t="s">
        <v>283</v>
      </c>
      <c r="P123" s="23">
        <v>-46.8</v>
      </c>
      <c r="Q123" s="24">
        <v>7182</v>
      </c>
      <c r="R123" s="25">
        <v>13500</v>
      </c>
    </row>
    <row r="124" spans="2:18" x14ac:dyDescent="0.2">
      <c r="B124" s="1" t="s">
        <v>0</v>
      </c>
      <c r="C124" s="21">
        <v>2.29</v>
      </c>
      <c r="D124" s="22" t="s">
        <v>27</v>
      </c>
      <c r="E124" s="22" t="s">
        <v>44</v>
      </c>
      <c r="F124" s="22" t="s">
        <v>1</v>
      </c>
      <c r="G124" s="22" t="s">
        <v>1</v>
      </c>
      <c r="H124" s="22" t="s">
        <v>1</v>
      </c>
      <c r="I124" s="22" t="s">
        <v>0</v>
      </c>
      <c r="J124" s="22">
        <v>0</v>
      </c>
      <c r="K124" s="22">
        <v>0</v>
      </c>
      <c r="L124" s="22">
        <v>0</v>
      </c>
      <c r="M124" s="22" t="s">
        <v>49</v>
      </c>
      <c r="N124" s="22" t="e">
        <v>#VALUE!</v>
      </c>
      <c r="O124" s="22" t="s">
        <v>49</v>
      </c>
      <c r="P124" s="23">
        <v>-55.81</v>
      </c>
      <c r="Q124" s="24">
        <v>1900</v>
      </c>
      <c r="R124" s="25">
        <v>4299.9656002751981</v>
      </c>
    </row>
    <row r="125" spans="2:18" x14ac:dyDescent="0.2">
      <c r="C125" s="18" t="s">
        <v>366</v>
      </c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8"/>
      <c r="Q125" s="20"/>
      <c r="R125" s="18"/>
    </row>
    <row r="126" spans="2:18" x14ac:dyDescent="0.2">
      <c r="B126" s="5" t="str">
        <f>HYPERLINK("https://IGI.org/verify.php?r=502136741","IGI")</f>
        <v>IGI</v>
      </c>
      <c r="C126" s="21">
        <v>7.06</v>
      </c>
      <c r="D126" s="22" t="s">
        <v>37</v>
      </c>
      <c r="E126" s="22" t="s">
        <v>38</v>
      </c>
      <c r="F126" s="22" t="s">
        <v>1</v>
      </c>
      <c r="G126" s="22" t="s">
        <v>1</v>
      </c>
      <c r="H126" s="22" t="s">
        <v>1</v>
      </c>
      <c r="I126" s="22" t="s">
        <v>7</v>
      </c>
      <c r="J126" s="22">
        <v>0</v>
      </c>
      <c r="K126" s="22">
        <v>0</v>
      </c>
      <c r="L126" s="22">
        <v>0</v>
      </c>
      <c r="M126" s="22" t="s">
        <v>284</v>
      </c>
      <c r="N126" s="22" t="s">
        <v>285</v>
      </c>
      <c r="O126" s="22" t="s">
        <v>286</v>
      </c>
      <c r="P126" s="23" t="s">
        <v>38</v>
      </c>
      <c r="Q126" s="24">
        <v>500</v>
      </c>
      <c r="R126" s="25" t="s">
        <v>38</v>
      </c>
    </row>
    <row r="127" spans="2:18" x14ac:dyDescent="0.2">
      <c r="B127" s="5"/>
      <c r="C127" s="26" t="s">
        <v>365</v>
      </c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6"/>
      <c r="Q127" s="20"/>
      <c r="R127" s="26"/>
    </row>
    <row r="128" spans="2:18" x14ac:dyDescent="0.2">
      <c r="B128" s="3" t="str">
        <f>HYPERLINK("http://www.GIA.edu/cs/Satellite?pagename=GST%2FDispatcher&amp;childpagename=GIA%2FPage%2FReportCheck&amp;c=Page&amp;cid=1355954554547&amp;reportno=2225946879","GIA")</f>
        <v>GIA</v>
      </c>
      <c r="C128" s="21">
        <v>2.13</v>
      </c>
      <c r="D128" s="22" t="s">
        <v>27</v>
      </c>
      <c r="E128" s="22" t="s">
        <v>39</v>
      </c>
      <c r="F128" s="22" t="s">
        <v>1</v>
      </c>
      <c r="G128" s="22" t="s">
        <v>6</v>
      </c>
      <c r="H128" s="22" t="s">
        <v>6</v>
      </c>
      <c r="I128" s="22" t="s">
        <v>7</v>
      </c>
      <c r="J128" s="22">
        <v>58</v>
      </c>
      <c r="K128" s="22">
        <v>0</v>
      </c>
      <c r="L128" s="22">
        <v>0</v>
      </c>
      <c r="M128" s="22" t="s">
        <v>290</v>
      </c>
      <c r="N128" s="22" t="s">
        <v>291</v>
      </c>
      <c r="O128" s="22" t="s">
        <v>292</v>
      </c>
      <c r="P128" s="23">
        <v>-48.04</v>
      </c>
      <c r="Q128" s="24">
        <v>2650</v>
      </c>
      <c r="R128" s="25">
        <v>5100.0769822940729</v>
      </c>
    </row>
    <row r="129" spans="2:18" x14ac:dyDescent="0.2">
      <c r="B129" s="3"/>
      <c r="C129" s="26" t="s">
        <v>364</v>
      </c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6"/>
      <c r="Q129" s="20"/>
      <c r="R129" s="26"/>
    </row>
    <row r="130" spans="2:18" x14ac:dyDescent="0.2">
      <c r="B130" s="3" t="str">
        <f>HYPERLINK("http://www.GIA.edu/cs/Satellite?pagename=GST%2FDispatcher&amp;childpagename=GIA%2FPage%2FReportCheck&amp;c=Page&amp;cid=1355954554547&amp;reportno=3165682632","GIA")</f>
        <v>GIA</v>
      </c>
      <c r="C130" s="21">
        <v>1.24</v>
      </c>
      <c r="D130" s="22" t="s">
        <v>2</v>
      </c>
      <c r="E130" s="22" t="s">
        <v>41</v>
      </c>
      <c r="F130" s="22" t="s">
        <v>1</v>
      </c>
      <c r="G130" s="22" t="s">
        <v>4</v>
      </c>
      <c r="H130" s="22" t="s">
        <v>3</v>
      </c>
      <c r="I130" s="22" t="s">
        <v>11</v>
      </c>
      <c r="J130" s="22">
        <v>56</v>
      </c>
      <c r="K130" s="22">
        <v>0</v>
      </c>
      <c r="L130" s="22">
        <v>0</v>
      </c>
      <c r="M130" s="22" t="s">
        <v>287</v>
      </c>
      <c r="N130" s="22" t="s">
        <v>288</v>
      </c>
      <c r="O130" s="22" t="s">
        <v>289</v>
      </c>
      <c r="P130" s="23">
        <v>-30</v>
      </c>
      <c r="Q130" s="24">
        <v>6510</v>
      </c>
      <c r="R130" s="25">
        <v>9300</v>
      </c>
    </row>
    <row r="131" spans="2:18" x14ac:dyDescent="0.2">
      <c r="C131" s="18" t="s">
        <v>374</v>
      </c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8"/>
      <c r="Q131" s="20"/>
      <c r="R131" s="18"/>
    </row>
    <row r="132" spans="2:18" x14ac:dyDescent="0.2">
      <c r="B132" s="4" t="str">
        <f>HYPERLINK("https://My.HRDantwerp.com/?report=170002293060","HRD")</f>
        <v>HRD</v>
      </c>
      <c r="C132" s="21">
        <v>3.15</v>
      </c>
      <c r="D132" s="22" t="s">
        <v>18</v>
      </c>
      <c r="E132" s="22" t="s">
        <v>42</v>
      </c>
      <c r="F132" s="22" t="s">
        <v>1</v>
      </c>
      <c r="G132" s="22" t="s">
        <v>4</v>
      </c>
      <c r="H132" s="22" t="s">
        <v>4</v>
      </c>
      <c r="I132" s="22" t="s">
        <v>5</v>
      </c>
      <c r="J132" s="22">
        <v>68</v>
      </c>
      <c r="K132" s="22">
        <v>11.5</v>
      </c>
      <c r="L132" s="22">
        <v>60</v>
      </c>
      <c r="M132" s="22" t="s">
        <v>296</v>
      </c>
      <c r="N132" s="22" t="s">
        <v>297</v>
      </c>
      <c r="O132" s="22" t="s">
        <v>298</v>
      </c>
      <c r="P132" s="23">
        <v>-60</v>
      </c>
      <c r="Q132" s="24">
        <v>9800</v>
      </c>
      <c r="R132" s="25">
        <v>24500</v>
      </c>
    </row>
    <row r="133" spans="2:18" x14ac:dyDescent="0.2">
      <c r="B133" s="4"/>
      <c r="C133" s="26" t="s">
        <v>373</v>
      </c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6"/>
      <c r="Q133" s="20"/>
      <c r="R133" s="26"/>
    </row>
    <row r="134" spans="2:18" x14ac:dyDescent="0.2">
      <c r="B134" s="4" t="str">
        <f>HYPERLINK("https://My.HRDantwerp.com/?report=230000107386","HRD")</f>
        <v>HRD</v>
      </c>
      <c r="C134" s="21">
        <v>2.06</v>
      </c>
      <c r="D134" s="22" t="s">
        <v>19</v>
      </c>
      <c r="E134" s="22" t="s">
        <v>44</v>
      </c>
      <c r="F134" s="22" t="s">
        <v>1</v>
      </c>
      <c r="G134" s="22" t="s">
        <v>4</v>
      </c>
      <c r="H134" s="22" t="s">
        <v>3</v>
      </c>
      <c r="I134" s="22" t="s">
        <v>5</v>
      </c>
      <c r="J134" s="22">
        <v>65</v>
      </c>
      <c r="K134" s="22">
        <v>20</v>
      </c>
      <c r="L134" s="22">
        <v>68</v>
      </c>
      <c r="M134" s="22" t="s">
        <v>302</v>
      </c>
      <c r="N134" s="22" t="s">
        <v>303</v>
      </c>
      <c r="O134" s="22" t="s">
        <v>304</v>
      </c>
      <c r="P134" s="23">
        <v>-60</v>
      </c>
      <c r="Q134" s="24">
        <v>3960</v>
      </c>
      <c r="R134" s="25">
        <v>9900</v>
      </c>
    </row>
    <row r="135" spans="2:18" x14ac:dyDescent="0.2">
      <c r="B135" s="4"/>
      <c r="C135" s="26" t="s">
        <v>372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6"/>
      <c r="Q135" s="20"/>
      <c r="R135" s="26"/>
    </row>
    <row r="136" spans="2:18" x14ac:dyDescent="0.2">
      <c r="B136" s="5" t="str">
        <f>HYPERLINK("https://IGI.org/verify.php?r=F6G53864","IGI")</f>
        <v>IGI</v>
      </c>
      <c r="C136" s="21">
        <v>1.74</v>
      </c>
      <c r="D136" s="22" t="s">
        <v>16</v>
      </c>
      <c r="E136" s="22" t="s">
        <v>39</v>
      </c>
      <c r="F136" s="22" t="s">
        <v>1</v>
      </c>
      <c r="G136" s="22" t="s">
        <v>6</v>
      </c>
      <c r="H136" s="22" t="s">
        <v>6</v>
      </c>
      <c r="I136" s="22" t="s">
        <v>7</v>
      </c>
      <c r="J136" s="22">
        <v>70</v>
      </c>
      <c r="K136" s="22">
        <v>14.5</v>
      </c>
      <c r="L136" s="22">
        <v>54</v>
      </c>
      <c r="M136" s="22" t="s">
        <v>294</v>
      </c>
      <c r="N136" s="22" t="s">
        <v>295</v>
      </c>
      <c r="O136" s="22" t="s">
        <v>283</v>
      </c>
      <c r="P136" s="23">
        <v>-50</v>
      </c>
      <c r="Q136" s="24">
        <v>5750</v>
      </c>
      <c r="R136" s="25">
        <v>11500</v>
      </c>
    </row>
    <row r="137" spans="2:18" x14ac:dyDescent="0.2">
      <c r="B137" s="4" t="str">
        <f>HYPERLINK("https://My.HRDantwerp.com/?report=220000172044","HRD")</f>
        <v>HRD</v>
      </c>
      <c r="C137" s="21">
        <v>1.51</v>
      </c>
      <c r="D137" s="22" t="s">
        <v>19</v>
      </c>
      <c r="E137" s="22" t="s">
        <v>40</v>
      </c>
      <c r="F137" s="22" t="s">
        <v>1</v>
      </c>
      <c r="G137" s="22" t="s">
        <v>4</v>
      </c>
      <c r="H137" s="22" t="s">
        <v>3</v>
      </c>
      <c r="I137" s="22" t="s">
        <v>5</v>
      </c>
      <c r="J137" s="22">
        <v>82</v>
      </c>
      <c r="K137" s="22">
        <v>0</v>
      </c>
      <c r="L137" s="22">
        <v>0</v>
      </c>
      <c r="M137" s="22" t="s">
        <v>299</v>
      </c>
      <c r="N137" s="22" t="s">
        <v>300</v>
      </c>
      <c r="O137" s="22" t="s">
        <v>301</v>
      </c>
      <c r="P137" s="23">
        <v>-50</v>
      </c>
      <c r="Q137" s="24">
        <v>3950</v>
      </c>
      <c r="R137" s="25">
        <v>7900</v>
      </c>
    </row>
    <row r="138" spans="2:18" x14ac:dyDescent="0.2">
      <c r="B138" s="4"/>
      <c r="C138" s="26" t="s">
        <v>371</v>
      </c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6"/>
      <c r="Q138" s="20"/>
      <c r="R138" s="26"/>
    </row>
    <row r="139" spans="2:18" x14ac:dyDescent="0.2">
      <c r="B139" s="4" t="str">
        <f>HYPERLINK("https://My.HRDantwerp.com/?report=13004119003","HRD")</f>
        <v>HRD</v>
      </c>
      <c r="C139" s="21">
        <v>1.03</v>
      </c>
      <c r="D139" s="22" t="s">
        <v>16</v>
      </c>
      <c r="E139" s="22" t="s">
        <v>41</v>
      </c>
      <c r="F139" s="22" t="s">
        <v>1</v>
      </c>
      <c r="G139" s="22" t="s">
        <v>4</v>
      </c>
      <c r="H139" s="22" t="s">
        <v>3</v>
      </c>
      <c r="I139" s="22" t="s">
        <v>5</v>
      </c>
      <c r="J139" s="22">
        <v>63</v>
      </c>
      <c r="K139" s="22">
        <v>13</v>
      </c>
      <c r="L139" s="22">
        <v>59.5</v>
      </c>
      <c r="M139" s="22" t="s">
        <v>293</v>
      </c>
      <c r="N139" s="22" t="s">
        <v>293</v>
      </c>
      <c r="O139" s="22" t="s">
        <v>91</v>
      </c>
      <c r="P139" s="23">
        <v>-57.3</v>
      </c>
      <c r="Q139" s="24">
        <v>3160</v>
      </c>
      <c r="R139" s="25">
        <v>7400.4683840749403</v>
      </c>
    </row>
    <row r="140" spans="2:18" x14ac:dyDescent="0.2">
      <c r="B140" s="4" t="str">
        <f>HYPERLINK("https://My.HRDantwerp.com/?report=200000141493","HRD")</f>
        <v>HRD</v>
      </c>
      <c r="C140" s="21">
        <v>1.26</v>
      </c>
      <c r="D140" s="22" t="s">
        <v>20</v>
      </c>
      <c r="E140" s="22" t="s">
        <v>40</v>
      </c>
      <c r="F140" s="22" t="s">
        <v>1</v>
      </c>
      <c r="G140" s="22" t="s">
        <v>6</v>
      </c>
      <c r="H140" s="22" t="s">
        <v>3</v>
      </c>
      <c r="I140" s="22" t="s">
        <v>9</v>
      </c>
      <c r="J140" s="22">
        <v>69</v>
      </c>
      <c r="K140" s="22">
        <v>0</v>
      </c>
      <c r="L140" s="22">
        <v>0</v>
      </c>
      <c r="M140" s="22" t="s">
        <v>305</v>
      </c>
      <c r="N140" s="22" t="s">
        <v>306</v>
      </c>
      <c r="O140" s="22" t="s">
        <v>292</v>
      </c>
      <c r="P140" s="23">
        <v>-48.72</v>
      </c>
      <c r="Q140" s="24">
        <v>2000</v>
      </c>
      <c r="R140" s="25">
        <v>3900.1560062402496</v>
      </c>
    </row>
    <row r="141" spans="2:18" x14ac:dyDescent="0.2">
      <c r="C141" s="18" t="s">
        <v>370</v>
      </c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8"/>
      <c r="Q141" s="20"/>
      <c r="R141" s="18"/>
    </row>
    <row r="142" spans="2:18" x14ac:dyDescent="0.2">
      <c r="B142" s="4" t="str">
        <f>HYPERLINK("https://My.HRDantwerp.com/?report=220000040106","HRD")</f>
        <v>HRD</v>
      </c>
      <c r="C142" s="21">
        <v>3</v>
      </c>
      <c r="D142" s="22" t="s">
        <v>2</v>
      </c>
      <c r="E142" s="22" t="s">
        <v>40</v>
      </c>
      <c r="F142" s="22" t="s">
        <v>1</v>
      </c>
      <c r="G142" s="22" t="s">
        <v>4</v>
      </c>
      <c r="H142" s="22" t="s">
        <v>3</v>
      </c>
      <c r="I142" s="22" t="s">
        <v>5</v>
      </c>
      <c r="J142" s="22">
        <v>53</v>
      </c>
      <c r="K142" s="22">
        <v>18</v>
      </c>
      <c r="L142" s="22">
        <v>0</v>
      </c>
      <c r="M142" s="22" t="s">
        <v>307</v>
      </c>
      <c r="N142" s="22" t="s">
        <v>336</v>
      </c>
      <c r="O142" s="22" t="s">
        <v>309</v>
      </c>
      <c r="P142" s="23">
        <v>-61.67</v>
      </c>
      <c r="Q142" s="24">
        <v>11500</v>
      </c>
      <c r="R142" s="25">
        <v>30002.608922515003</v>
      </c>
    </row>
    <row r="143" spans="2:18" x14ac:dyDescent="0.2">
      <c r="B143" s="3" t="str">
        <f>HYPERLINK("http://www.GIA.edu/cs/Satellite?pagename=GST%2FDispatcher&amp;childpagename=GIA%2FPage%2FReportCheck&amp;c=Page&amp;cid=1355954554547&amp;reportno=6234090729","GIA")</f>
        <v>GIA</v>
      </c>
      <c r="C143" s="21">
        <v>3</v>
      </c>
      <c r="D143" s="22" t="s">
        <v>2</v>
      </c>
      <c r="E143" s="22" t="s">
        <v>44</v>
      </c>
      <c r="F143" s="22" t="s">
        <v>1</v>
      </c>
      <c r="G143" s="22" t="s">
        <v>3</v>
      </c>
      <c r="H143" s="22" t="s">
        <v>3</v>
      </c>
      <c r="I143" s="22" t="s">
        <v>7</v>
      </c>
      <c r="J143" s="22">
        <v>53</v>
      </c>
      <c r="K143" s="22">
        <v>0</v>
      </c>
      <c r="L143" s="22">
        <v>0</v>
      </c>
      <c r="M143" s="22" t="s">
        <v>307</v>
      </c>
      <c r="N143" s="22" t="s">
        <v>308</v>
      </c>
      <c r="O143" s="22" t="s">
        <v>309</v>
      </c>
      <c r="P143" s="23">
        <v>-50</v>
      </c>
      <c r="Q143" s="24">
        <v>11500</v>
      </c>
      <c r="R143" s="25">
        <v>23000</v>
      </c>
    </row>
    <row r="144" spans="2:18" x14ac:dyDescent="0.2">
      <c r="B144" s="4"/>
      <c r="C144" s="26" t="s">
        <v>369</v>
      </c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6"/>
      <c r="Q144" s="20"/>
      <c r="R144" s="26"/>
    </row>
    <row r="145" spans="2:18" x14ac:dyDescent="0.2">
      <c r="B145" s="5" t="str">
        <f>HYPERLINK("https://IGI.org/verify.php?r=574363122","IGI")</f>
        <v>IGI</v>
      </c>
      <c r="C145" s="21">
        <v>2.0099999999999998</v>
      </c>
      <c r="D145" s="22" t="s">
        <v>23</v>
      </c>
      <c r="E145" s="22" t="s">
        <v>44</v>
      </c>
      <c r="F145" s="22" t="s">
        <v>4</v>
      </c>
      <c r="G145" s="22" t="s">
        <v>4</v>
      </c>
      <c r="H145" s="22" t="s">
        <v>3</v>
      </c>
      <c r="I145" s="22" t="s">
        <v>7</v>
      </c>
      <c r="J145" s="22">
        <v>55</v>
      </c>
      <c r="K145" s="22">
        <v>0</v>
      </c>
      <c r="L145" s="22">
        <v>0</v>
      </c>
      <c r="M145" s="22" t="s">
        <v>114</v>
      </c>
      <c r="N145" s="22" t="s">
        <v>313</v>
      </c>
      <c r="O145" s="22" t="s">
        <v>314</v>
      </c>
      <c r="P145" s="23">
        <v>-60</v>
      </c>
      <c r="Q145" s="24">
        <v>2800</v>
      </c>
      <c r="R145" s="25">
        <v>7000</v>
      </c>
    </row>
    <row r="146" spans="2:18" x14ac:dyDescent="0.2">
      <c r="B146" s="5" t="str">
        <f>HYPERLINK("https://IGI.org/verify.php?r=516282178","IGI")</f>
        <v>IGI</v>
      </c>
      <c r="C146" s="21">
        <v>2.21</v>
      </c>
      <c r="D146" s="22" t="s">
        <v>26</v>
      </c>
      <c r="E146" s="22" t="s">
        <v>42</v>
      </c>
      <c r="F146" s="22" t="s">
        <v>1</v>
      </c>
      <c r="G146" s="22" t="s">
        <v>3</v>
      </c>
      <c r="H146" s="22" t="s">
        <v>4</v>
      </c>
      <c r="I146" s="22" t="s">
        <v>7</v>
      </c>
      <c r="J146" s="22">
        <v>5.8</v>
      </c>
      <c r="K146" s="22">
        <v>0</v>
      </c>
      <c r="L146" s="22">
        <v>0</v>
      </c>
      <c r="M146" s="22" t="s">
        <v>315</v>
      </c>
      <c r="N146" s="22" t="s">
        <v>316</v>
      </c>
      <c r="O146" s="22" t="s">
        <v>292</v>
      </c>
      <c r="P146" s="23">
        <v>-60</v>
      </c>
      <c r="Q146" s="24">
        <v>2520</v>
      </c>
      <c r="R146" s="25">
        <v>6300</v>
      </c>
    </row>
    <row r="147" spans="2:18" x14ac:dyDescent="0.2">
      <c r="B147" s="5"/>
      <c r="C147" s="26" t="s">
        <v>368</v>
      </c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6"/>
      <c r="Q147" s="20"/>
      <c r="R147" s="26"/>
    </row>
    <row r="148" spans="2:18" x14ac:dyDescent="0.2">
      <c r="B148" s="4" t="str">
        <f>HYPERLINK("https://My.HRDantwerp.com/?report=240000026711","HRD")</f>
        <v>HRD</v>
      </c>
      <c r="C148" s="21">
        <v>1.7</v>
      </c>
      <c r="D148" s="22" t="s">
        <v>19</v>
      </c>
      <c r="E148" s="22" t="s">
        <v>43</v>
      </c>
      <c r="F148" s="22" t="s">
        <v>1</v>
      </c>
      <c r="G148" s="22" t="s">
        <v>4</v>
      </c>
      <c r="H148" s="22" t="s">
        <v>4</v>
      </c>
      <c r="I148" s="22" t="s">
        <v>5</v>
      </c>
      <c r="J148" s="22">
        <v>64</v>
      </c>
      <c r="K148" s="22">
        <v>0</v>
      </c>
      <c r="L148" s="22">
        <v>0</v>
      </c>
      <c r="M148" s="22" t="s">
        <v>114</v>
      </c>
      <c r="N148" s="22" t="s">
        <v>337</v>
      </c>
      <c r="O148" s="22" t="s">
        <v>338</v>
      </c>
      <c r="P148" s="23">
        <v>-45</v>
      </c>
      <c r="Q148" s="24">
        <v>3905</v>
      </c>
      <c r="R148" s="25">
        <v>7100</v>
      </c>
    </row>
    <row r="149" spans="2:18" x14ac:dyDescent="0.2">
      <c r="B149" s="4"/>
      <c r="C149" s="26" t="s">
        <v>367</v>
      </c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6"/>
      <c r="Q149" s="20"/>
      <c r="R149" s="26"/>
    </row>
    <row r="150" spans="2:18" x14ac:dyDescent="0.2">
      <c r="B150" s="4" t="str">
        <f>HYPERLINK("https://My.HRDantwerp.com/?report=07014504001","HRD")</f>
        <v>HRD</v>
      </c>
      <c r="C150" s="21">
        <v>1.03</v>
      </c>
      <c r="D150" s="22" t="s">
        <v>12</v>
      </c>
      <c r="E150" s="22" t="s">
        <v>41</v>
      </c>
      <c r="F150" s="22" t="s">
        <v>1</v>
      </c>
      <c r="G150" s="22" t="s">
        <v>3</v>
      </c>
      <c r="H150" s="22" t="s">
        <v>1</v>
      </c>
      <c r="I150" s="22" t="s">
        <v>5</v>
      </c>
      <c r="J150" s="22">
        <v>64</v>
      </c>
      <c r="K150" s="22">
        <v>11</v>
      </c>
      <c r="L150" s="22">
        <v>44</v>
      </c>
      <c r="M150" s="22" t="s">
        <v>310</v>
      </c>
      <c r="N150" s="22" t="s">
        <v>311</v>
      </c>
      <c r="O150" s="22" t="s">
        <v>312</v>
      </c>
      <c r="P150" s="23">
        <v>-47.56</v>
      </c>
      <c r="Q150" s="24">
        <v>4300</v>
      </c>
      <c r="R150" s="25">
        <v>8199.8474446987038</v>
      </c>
    </row>
    <row r="151" spans="2:18" x14ac:dyDescent="0.2">
      <c r="C151" s="18" t="s">
        <v>376</v>
      </c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8"/>
      <c r="Q151" s="20"/>
      <c r="R151" s="18"/>
    </row>
    <row r="152" spans="2:18" x14ac:dyDescent="0.2">
      <c r="B152" s="4" t="str">
        <f>HYPERLINK("https://My.HRDantwerp.com/?report=11017385019","HRD")</f>
        <v>HRD</v>
      </c>
      <c r="C152" s="21">
        <v>3.06</v>
      </c>
      <c r="D152" s="22" t="s">
        <v>20</v>
      </c>
      <c r="E152" s="22" t="s">
        <v>40</v>
      </c>
      <c r="F152" s="22" t="s">
        <v>1</v>
      </c>
      <c r="G152" s="22" t="s">
        <v>6</v>
      </c>
      <c r="H152" s="22" t="s">
        <v>3</v>
      </c>
      <c r="I152" s="22" t="s">
        <v>15</v>
      </c>
      <c r="J152" s="22">
        <v>72</v>
      </c>
      <c r="K152" s="22">
        <v>14.5</v>
      </c>
      <c r="L152" s="22">
        <v>69.5</v>
      </c>
      <c r="M152" s="22" t="s">
        <v>317</v>
      </c>
      <c r="N152" s="22" t="s">
        <v>318</v>
      </c>
      <c r="O152" s="22" t="s">
        <v>319</v>
      </c>
      <c r="P152" s="23">
        <v>-65</v>
      </c>
      <c r="Q152" s="24">
        <v>5775</v>
      </c>
      <c r="R152" s="25">
        <v>16500</v>
      </c>
    </row>
    <row r="153" spans="2:18" x14ac:dyDescent="0.2">
      <c r="B153" s="4"/>
      <c r="C153" s="26" t="s">
        <v>375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6"/>
      <c r="Q153" s="20"/>
      <c r="R153" s="26"/>
    </row>
    <row r="154" spans="2:18" x14ac:dyDescent="0.2">
      <c r="B154" s="4" t="str">
        <f>HYPERLINK("https://My.HRDantwerp.com/?report=16007261001","HRD")</f>
        <v>HRD</v>
      </c>
      <c r="C154" s="21">
        <v>1.02</v>
      </c>
      <c r="D154" s="22" t="s">
        <v>26</v>
      </c>
      <c r="E154" s="22" t="s">
        <v>41</v>
      </c>
      <c r="F154" s="22" t="s">
        <v>1</v>
      </c>
      <c r="G154" s="22" t="s">
        <v>4</v>
      </c>
      <c r="H154" s="22" t="s">
        <v>3</v>
      </c>
      <c r="I154" s="22" t="s">
        <v>5</v>
      </c>
      <c r="J154" s="22">
        <v>64</v>
      </c>
      <c r="K154" s="22">
        <v>17</v>
      </c>
      <c r="L154" s="22">
        <v>53.5</v>
      </c>
      <c r="M154" s="22" t="s">
        <v>320</v>
      </c>
      <c r="N154" s="22" t="s">
        <v>321</v>
      </c>
      <c r="O154" s="22" t="s">
        <v>239</v>
      </c>
      <c r="P154" s="23">
        <v>-60</v>
      </c>
      <c r="Q154" s="24">
        <v>1360</v>
      </c>
      <c r="R154" s="25">
        <v>3400</v>
      </c>
    </row>
    <row r="155" spans="2:18" x14ac:dyDescent="0.2">
      <c r="C155" s="28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8"/>
      <c r="Q155" s="24"/>
      <c r="R155" s="28"/>
    </row>
    <row r="156" spans="2:18" x14ac:dyDescent="0.2">
      <c r="C156" s="28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8"/>
      <c r="Q156" s="24"/>
      <c r="R156" s="28"/>
    </row>
    <row r="157" spans="2:18" x14ac:dyDescent="0.2">
      <c r="C157" s="28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8"/>
      <c r="Q157" s="24"/>
      <c r="R157" s="28"/>
    </row>
    <row r="158" spans="2:18" x14ac:dyDescent="0.2">
      <c r="C158" s="28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8"/>
      <c r="Q158" s="24"/>
      <c r="R158" s="28"/>
    </row>
    <row r="159" spans="2:18" x14ac:dyDescent="0.2">
      <c r="C159" s="28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8"/>
      <c r="Q159" s="24"/>
      <c r="R159" s="28"/>
    </row>
    <row r="160" spans="2:18" x14ac:dyDescent="0.2">
      <c r="C160" s="28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8"/>
      <c r="Q160" s="24"/>
      <c r="R160" s="28"/>
    </row>
    <row r="161" spans="3:18" x14ac:dyDescent="0.2">
      <c r="C161" s="28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8"/>
      <c r="Q161" s="24"/>
      <c r="R161" s="28"/>
    </row>
    <row r="162" spans="3:18" x14ac:dyDescent="0.2">
      <c r="C162" s="28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8"/>
      <c r="Q162" s="24"/>
      <c r="R162" s="28"/>
    </row>
    <row r="163" spans="3:18" x14ac:dyDescent="0.2">
      <c r="C163" s="28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8"/>
      <c r="Q163" s="24"/>
      <c r="R163" s="28"/>
    </row>
    <row r="164" spans="3:18" x14ac:dyDescent="0.2">
      <c r="C164" s="28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8"/>
      <c r="Q164" s="24"/>
      <c r="R164" s="28"/>
    </row>
    <row r="165" spans="3:18" x14ac:dyDescent="0.2">
      <c r="C165" s="28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8"/>
      <c r="Q165" s="24"/>
      <c r="R165" s="28"/>
    </row>
    <row r="166" spans="3:18" x14ac:dyDescent="0.2">
      <c r="C166" s="28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8"/>
      <c r="Q166" s="24"/>
      <c r="R166" s="28"/>
    </row>
    <row r="167" spans="3:18" x14ac:dyDescent="0.2">
      <c r="C167" s="28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8"/>
      <c r="Q167" s="24"/>
      <c r="R167" s="28"/>
    </row>
    <row r="168" spans="3:18" x14ac:dyDescent="0.2">
      <c r="C168" s="28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8"/>
      <c r="Q168" s="24"/>
      <c r="R168" s="28"/>
    </row>
    <row r="169" spans="3:18" x14ac:dyDescent="0.2">
      <c r="C169" s="28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8"/>
      <c r="Q169" s="24"/>
      <c r="R169" s="28"/>
    </row>
    <row r="170" spans="3:18" x14ac:dyDescent="0.2">
      <c r="C170" s="28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8"/>
      <c r="Q170" s="24"/>
      <c r="R170" s="28"/>
    </row>
    <row r="171" spans="3:18" x14ac:dyDescent="0.2">
      <c r="C171" s="28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8"/>
      <c r="Q171" s="24"/>
      <c r="R171" s="28"/>
    </row>
    <row r="172" spans="3:18" x14ac:dyDescent="0.2">
      <c r="C172" s="28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8"/>
      <c r="Q172" s="24"/>
      <c r="R172" s="28"/>
    </row>
    <row r="173" spans="3:18" x14ac:dyDescent="0.2">
      <c r="C173" s="28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8"/>
      <c r="Q173" s="24"/>
      <c r="R173" s="28"/>
    </row>
    <row r="174" spans="3:18" x14ac:dyDescent="0.2">
      <c r="C174" s="28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8"/>
      <c r="Q174" s="24"/>
      <c r="R174" s="28"/>
    </row>
    <row r="175" spans="3:18" x14ac:dyDescent="0.2">
      <c r="C175" s="28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8"/>
      <c r="Q175" s="24"/>
      <c r="R175" s="28"/>
    </row>
    <row r="176" spans="3:18" x14ac:dyDescent="0.2">
      <c r="C176" s="28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8"/>
      <c r="Q176" s="24"/>
      <c r="R176" s="28"/>
    </row>
    <row r="177" spans="3:18" x14ac:dyDescent="0.2">
      <c r="C177" s="28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8"/>
      <c r="Q177" s="24"/>
      <c r="R177" s="28"/>
    </row>
    <row r="178" spans="3:18" x14ac:dyDescent="0.2">
      <c r="C178" s="28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8"/>
      <c r="Q178" s="24"/>
      <c r="R178" s="28"/>
    </row>
    <row r="179" spans="3:18" x14ac:dyDescent="0.2">
      <c r="C179" s="28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8"/>
      <c r="Q179" s="24"/>
      <c r="R179" s="28"/>
    </row>
    <row r="180" spans="3:18" x14ac:dyDescent="0.2">
      <c r="C180" s="28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8"/>
      <c r="Q180" s="24"/>
      <c r="R180" s="28"/>
    </row>
    <row r="181" spans="3:18" x14ac:dyDescent="0.2">
      <c r="C181" s="28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8"/>
      <c r="Q181" s="24"/>
      <c r="R181" s="28"/>
    </row>
    <row r="182" spans="3:18" x14ac:dyDescent="0.2">
      <c r="C182" s="28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8"/>
      <c r="Q182" s="24"/>
      <c r="R182" s="28"/>
    </row>
    <row r="183" spans="3:18" x14ac:dyDescent="0.2">
      <c r="C183" s="28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8"/>
      <c r="Q183" s="24"/>
      <c r="R183" s="28"/>
    </row>
    <row r="184" spans="3:18" x14ac:dyDescent="0.2">
      <c r="C184" s="28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8"/>
      <c r="Q184" s="24"/>
      <c r="R184" s="28"/>
    </row>
    <row r="185" spans="3:18" x14ac:dyDescent="0.2">
      <c r="C185" s="28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8"/>
      <c r="Q185" s="24"/>
      <c r="R185" s="28"/>
    </row>
    <row r="186" spans="3:18" x14ac:dyDescent="0.2">
      <c r="C186" s="28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8"/>
      <c r="Q186" s="24"/>
      <c r="R186" s="28"/>
    </row>
    <row r="187" spans="3:18" x14ac:dyDescent="0.2">
      <c r="C187" s="28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8"/>
      <c r="Q187" s="24"/>
      <c r="R187" s="28"/>
    </row>
    <row r="188" spans="3:18" x14ac:dyDescent="0.2">
      <c r="C188" s="28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8"/>
      <c r="Q188" s="24"/>
      <c r="R188" s="28"/>
    </row>
    <row r="189" spans="3:18" x14ac:dyDescent="0.2">
      <c r="C189" s="28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8"/>
      <c r="Q189" s="24"/>
      <c r="R189" s="28"/>
    </row>
    <row r="190" spans="3:18" x14ac:dyDescent="0.2">
      <c r="C190" s="28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8"/>
      <c r="Q190" s="24"/>
      <c r="R190" s="28"/>
    </row>
    <row r="191" spans="3:18" x14ac:dyDescent="0.2">
      <c r="C191" s="28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8"/>
      <c r="Q191" s="24"/>
      <c r="R191" s="28"/>
    </row>
    <row r="192" spans="3:18" x14ac:dyDescent="0.2">
      <c r="C192" s="28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8"/>
      <c r="Q192" s="24"/>
      <c r="R192" s="28"/>
    </row>
    <row r="193" spans="3:18" x14ac:dyDescent="0.2">
      <c r="C193" s="28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8"/>
      <c r="Q193" s="24"/>
      <c r="R193" s="28"/>
    </row>
    <row r="194" spans="3:18" x14ac:dyDescent="0.2">
      <c r="C194" s="28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8"/>
      <c r="Q194" s="24"/>
      <c r="R194" s="28"/>
    </row>
    <row r="195" spans="3:18" x14ac:dyDescent="0.2">
      <c r="C195" s="28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8"/>
      <c r="Q195" s="24"/>
      <c r="R195" s="28"/>
    </row>
    <row r="196" spans="3:18" x14ac:dyDescent="0.2">
      <c r="C196" s="28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8"/>
      <c r="Q196" s="24"/>
      <c r="R196" s="28"/>
    </row>
    <row r="197" spans="3:18" x14ac:dyDescent="0.2">
      <c r="C197" s="28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8"/>
      <c r="Q197" s="24"/>
      <c r="R197" s="28"/>
    </row>
    <row r="198" spans="3:18" x14ac:dyDescent="0.2">
      <c r="C198" s="28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8"/>
      <c r="Q198" s="24"/>
      <c r="R198" s="28"/>
    </row>
    <row r="199" spans="3:18" x14ac:dyDescent="0.2">
      <c r="C199" s="28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8"/>
      <c r="Q199" s="24"/>
      <c r="R199" s="28"/>
    </row>
    <row r="200" spans="3:18" x14ac:dyDescent="0.2">
      <c r="C200" s="28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8"/>
      <c r="Q200" s="24"/>
      <c r="R200" s="28"/>
    </row>
    <row r="201" spans="3:18" x14ac:dyDescent="0.2">
      <c r="C201" s="28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8"/>
      <c r="Q201" s="24"/>
      <c r="R201" s="28"/>
    </row>
    <row r="202" spans="3:18" x14ac:dyDescent="0.2">
      <c r="C202" s="28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8"/>
      <c r="Q202" s="24"/>
      <c r="R202" s="28"/>
    </row>
    <row r="203" spans="3:18" x14ac:dyDescent="0.2">
      <c r="C203" s="28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8"/>
      <c r="Q203" s="24"/>
      <c r="R203" s="28"/>
    </row>
    <row r="204" spans="3:18" x14ac:dyDescent="0.2">
      <c r="C204" s="28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8"/>
      <c r="Q204" s="24"/>
      <c r="R204" s="28"/>
    </row>
    <row r="205" spans="3:18" x14ac:dyDescent="0.2">
      <c r="C205" s="28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8"/>
      <c r="Q205" s="24"/>
      <c r="R205" s="28"/>
    </row>
    <row r="206" spans="3:18" x14ac:dyDescent="0.2">
      <c r="C206" s="28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8"/>
      <c r="Q206" s="24"/>
      <c r="R206" s="28"/>
    </row>
    <row r="207" spans="3:18" x14ac:dyDescent="0.2">
      <c r="C207" s="28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8"/>
      <c r="Q207" s="24"/>
      <c r="R207" s="28"/>
    </row>
    <row r="208" spans="3:18" x14ac:dyDescent="0.2">
      <c r="C208" s="28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8"/>
      <c r="Q208" s="24"/>
      <c r="R208" s="28"/>
    </row>
    <row r="209" spans="3:18" x14ac:dyDescent="0.2">
      <c r="C209" s="28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8"/>
      <c r="Q209" s="24"/>
      <c r="R209" s="28"/>
    </row>
    <row r="210" spans="3:18" x14ac:dyDescent="0.2">
      <c r="C210" s="28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8"/>
      <c r="Q210" s="24"/>
      <c r="R210" s="28"/>
    </row>
    <row r="211" spans="3:18" x14ac:dyDescent="0.2">
      <c r="C211" s="28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8"/>
      <c r="Q211" s="24"/>
      <c r="R211" s="28"/>
    </row>
    <row r="212" spans="3:18" x14ac:dyDescent="0.2">
      <c r="C212" s="28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8"/>
      <c r="Q212" s="24"/>
      <c r="R212" s="28"/>
    </row>
    <row r="213" spans="3:18" x14ac:dyDescent="0.2">
      <c r="C213" s="28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8"/>
      <c r="Q213" s="24"/>
      <c r="R213" s="28"/>
    </row>
    <row r="214" spans="3:18" x14ac:dyDescent="0.2">
      <c r="C214" s="28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8"/>
      <c r="Q214" s="24"/>
      <c r="R214" s="28"/>
    </row>
    <row r="215" spans="3:18" x14ac:dyDescent="0.2">
      <c r="C215" s="28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8"/>
      <c r="Q215" s="24"/>
      <c r="R215" s="28"/>
    </row>
    <row r="216" spans="3:18" x14ac:dyDescent="0.2">
      <c r="C216" s="28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8"/>
      <c r="Q216" s="24"/>
      <c r="R216" s="28"/>
    </row>
    <row r="217" spans="3:18" x14ac:dyDescent="0.2">
      <c r="C217" s="28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8"/>
      <c r="Q217" s="24"/>
      <c r="R217" s="28"/>
    </row>
    <row r="218" spans="3:18" x14ac:dyDescent="0.2">
      <c r="C218" s="28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8"/>
      <c r="Q218" s="24"/>
      <c r="R218" s="28"/>
    </row>
    <row r="219" spans="3:18" x14ac:dyDescent="0.2">
      <c r="C219" s="28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8"/>
      <c r="Q219" s="24"/>
      <c r="R219" s="28"/>
    </row>
    <row r="220" spans="3:18" x14ac:dyDescent="0.2">
      <c r="C220" s="28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8"/>
      <c r="Q220" s="24"/>
      <c r="R220" s="28"/>
    </row>
    <row r="221" spans="3:18" x14ac:dyDescent="0.2">
      <c r="C221" s="28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8"/>
      <c r="Q221" s="24"/>
      <c r="R221" s="28"/>
    </row>
    <row r="222" spans="3:18" x14ac:dyDescent="0.2">
      <c r="C222" s="28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8"/>
      <c r="Q222" s="24"/>
      <c r="R222" s="28"/>
    </row>
    <row r="223" spans="3:18" x14ac:dyDescent="0.2">
      <c r="C223" s="28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8"/>
      <c r="Q223" s="24"/>
      <c r="R223" s="28"/>
    </row>
    <row r="224" spans="3:18" x14ac:dyDescent="0.2">
      <c r="C224" s="28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8"/>
      <c r="Q224" s="24"/>
      <c r="R224" s="28"/>
    </row>
    <row r="225" spans="3:18" x14ac:dyDescent="0.2">
      <c r="C225" s="28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8"/>
      <c r="Q225" s="24"/>
      <c r="R225" s="28"/>
    </row>
    <row r="226" spans="3:18" x14ac:dyDescent="0.2">
      <c r="C226" s="28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8"/>
      <c r="Q226" s="24"/>
      <c r="R226" s="28"/>
    </row>
    <row r="227" spans="3:18" x14ac:dyDescent="0.2">
      <c r="C227" s="28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8"/>
      <c r="Q227" s="24"/>
      <c r="R227" s="28"/>
    </row>
    <row r="228" spans="3:18" x14ac:dyDescent="0.2">
      <c r="C228" s="28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8"/>
      <c r="Q228" s="24"/>
      <c r="R228" s="28"/>
    </row>
    <row r="229" spans="3:18" x14ac:dyDescent="0.2">
      <c r="C229" s="28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8"/>
      <c r="Q229" s="24"/>
      <c r="R229" s="28"/>
    </row>
    <row r="230" spans="3:18" x14ac:dyDescent="0.2">
      <c r="C230" s="28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8"/>
      <c r="Q230" s="24"/>
      <c r="R230" s="28"/>
    </row>
    <row r="231" spans="3:18" x14ac:dyDescent="0.2">
      <c r="C231" s="28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8"/>
      <c r="Q231" s="24"/>
      <c r="R231" s="28"/>
    </row>
    <row r="232" spans="3:18" x14ac:dyDescent="0.2">
      <c r="C232" s="28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8"/>
      <c r="Q232" s="24"/>
      <c r="R232" s="28"/>
    </row>
    <row r="233" spans="3:18" x14ac:dyDescent="0.2">
      <c r="C233" s="28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8"/>
      <c r="Q233" s="24"/>
      <c r="R233" s="28"/>
    </row>
    <row r="234" spans="3:18" x14ac:dyDescent="0.2">
      <c r="C234" s="28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8"/>
      <c r="Q234" s="24"/>
      <c r="R234" s="28"/>
    </row>
    <row r="235" spans="3:18" x14ac:dyDescent="0.2">
      <c r="C235" s="28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8"/>
      <c r="Q235" s="24"/>
      <c r="R235" s="28"/>
    </row>
    <row r="236" spans="3:18" x14ac:dyDescent="0.2">
      <c r="C236" s="28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8"/>
      <c r="Q236" s="24"/>
      <c r="R236" s="28"/>
    </row>
    <row r="237" spans="3:18" x14ac:dyDescent="0.2">
      <c r="C237" s="28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8"/>
      <c r="Q237" s="24"/>
      <c r="R237" s="28"/>
    </row>
    <row r="238" spans="3:18" x14ac:dyDescent="0.2">
      <c r="C238" s="28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8"/>
      <c r="Q238" s="24"/>
      <c r="R238" s="28"/>
    </row>
    <row r="239" spans="3:18" x14ac:dyDescent="0.2">
      <c r="C239" s="28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8"/>
      <c r="Q239" s="24"/>
      <c r="R239" s="28"/>
    </row>
    <row r="240" spans="3:18" x14ac:dyDescent="0.2">
      <c r="C240" s="28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8"/>
      <c r="Q240" s="24"/>
      <c r="R240" s="28"/>
    </row>
    <row r="241" spans="3:18" x14ac:dyDescent="0.2">
      <c r="C241" s="28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8"/>
      <c r="Q241" s="24"/>
      <c r="R241" s="28"/>
    </row>
    <row r="242" spans="3:18" x14ac:dyDescent="0.2">
      <c r="C242" s="28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8"/>
      <c r="Q242" s="24"/>
      <c r="R242" s="28"/>
    </row>
    <row r="243" spans="3:18" x14ac:dyDescent="0.2">
      <c r="C243" s="28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8"/>
      <c r="Q243" s="24"/>
      <c r="R243" s="28"/>
    </row>
    <row r="244" spans="3:18" x14ac:dyDescent="0.2">
      <c r="C244" s="28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8"/>
      <c r="Q244" s="24"/>
      <c r="R244" s="28"/>
    </row>
    <row r="245" spans="3:18" x14ac:dyDescent="0.2">
      <c r="C245" s="28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8"/>
      <c r="Q245" s="24"/>
      <c r="R245" s="28"/>
    </row>
    <row r="246" spans="3:18" x14ac:dyDescent="0.2">
      <c r="C246" s="28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8"/>
      <c r="Q246" s="24"/>
      <c r="R246" s="28"/>
    </row>
    <row r="247" spans="3:18" x14ac:dyDescent="0.2">
      <c r="C247" s="28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8"/>
      <c r="Q247" s="24"/>
      <c r="R247" s="28"/>
    </row>
    <row r="248" spans="3:18" x14ac:dyDescent="0.2">
      <c r="C248" s="28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8"/>
      <c r="Q248" s="24"/>
      <c r="R248" s="28"/>
    </row>
    <row r="249" spans="3:18" x14ac:dyDescent="0.2">
      <c r="C249" s="28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8"/>
      <c r="Q249" s="24"/>
      <c r="R249" s="28"/>
    </row>
    <row r="250" spans="3:18" x14ac:dyDescent="0.2">
      <c r="C250" s="28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8"/>
      <c r="Q250" s="24"/>
      <c r="R250" s="28"/>
    </row>
    <row r="251" spans="3:18" x14ac:dyDescent="0.2">
      <c r="C251" s="28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8"/>
      <c r="Q251" s="24"/>
      <c r="R251" s="28"/>
    </row>
    <row r="252" spans="3:18" x14ac:dyDescent="0.2">
      <c r="C252" s="28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8"/>
      <c r="Q252" s="24"/>
      <c r="R252" s="28"/>
    </row>
    <row r="253" spans="3:18" x14ac:dyDescent="0.2">
      <c r="C253" s="28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8"/>
      <c r="Q253" s="24"/>
      <c r="R253" s="28"/>
    </row>
    <row r="254" spans="3:18" x14ac:dyDescent="0.2">
      <c r="C254" s="28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8"/>
      <c r="Q254" s="24"/>
      <c r="R254" s="28"/>
    </row>
    <row r="255" spans="3:18" x14ac:dyDescent="0.2">
      <c r="C255" s="28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8"/>
      <c r="Q255" s="24"/>
      <c r="R255" s="28"/>
    </row>
    <row r="256" spans="3:18" x14ac:dyDescent="0.2">
      <c r="C256" s="28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8"/>
      <c r="Q256" s="24"/>
      <c r="R256" s="28"/>
    </row>
    <row r="257" spans="3:18" x14ac:dyDescent="0.2">
      <c r="C257" s="28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8"/>
      <c r="Q257" s="24"/>
      <c r="R257" s="28"/>
    </row>
    <row r="258" spans="3:18" x14ac:dyDescent="0.2">
      <c r="C258" s="28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8"/>
      <c r="Q258" s="24"/>
      <c r="R258" s="28"/>
    </row>
    <row r="259" spans="3:18" x14ac:dyDescent="0.2">
      <c r="C259" s="28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8"/>
      <c r="Q259" s="24"/>
      <c r="R259" s="28"/>
    </row>
    <row r="260" spans="3:18" x14ac:dyDescent="0.2">
      <c r="C260" s="28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8"/>
      <c r="Q260" s="24"/>
      <c r="R260" s="28"/>
    </row>
    <row r="261" spans="3:18" x14ac:dyDescent="0.2">
      <c r="C261" s="28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8"/>
      <c r="Q261" s="24"/>
      <c r="R261" s="28"/>
    </row>
    <row r="262" spans="3:18" x14ac:dyDescent="0.2">
      <c r="C262" s="28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8"/>
      <c r="Q262" s="24"/>
      <c r="R262" s="28"/>
    </row>
    <row r="263" spans="3:18" x14ac:dyDescent="0.2">
      <c r="C263" s="28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8"/>
      <c r="Q263" s="24"/>
      <c r="R263" s="28"/>
    </row>
    <row r="264" spans="3:18" x14ac:dyDescent="0.2">
      <c r="C264" s="28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8"/>
      <c r="Q264" s="24"/>
      <c r="R264" s="28"/>
    </row>
    <row r="265" spans="3:18" x14ac:dyDescent="0.2">
      <c r="C265" s="28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8"/>
      <c r="Q265" s="24"/>
      <c r="R265" s="28"/>
    </row>
    <row r="266" spans="3:18" x14ac:dyDescent="0.2">
      <c r="C266" s="28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8"/>
      <c r="Q266" s="24"/>
      <c r="R266" s="28"/>
    </row>
    <row r="267" spans="3:18" x14ac:dyDescent="0.2">
      <c r="C267" s="28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8"/>
      <c r="Q267" s="24"/>
      <c r="R267" s="28"/>
    </row>
    <row r="268" spans="3:18" x14ac:dyDescent="0.2">
      <c r="C268" s="28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8"/>
      <c r="Q268" s="24"/>
      <c r="R268" s="28"/>
    </row>
    <row r="269" spans="3:18" x14ac:dyDescent="0.2">
      <c r="C269" s="28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8"/>
      <c r="Q269" s="24"/>
      <c r="R269" s="28"/>
    </row>
    <row r="270" spans="3:18" x14ac:dyDescent="0.2">
      <c r="C270" s="28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8"/>
      <c r="Q270" s="24"/>
      <c r="R270" s="28"/>
    </row>
    <row r="271" spans="3:18" x14ac:dyDescent="0.2">
      <c r="C271" s="28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8"/>
      <c r="Q271" s="24"/>
      <c r="R271" s="28"/>
    </row>
    <row r="272" spans="3:18" x14ac:dyDescent="0.2">
      <c r="C272" s="28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8"/>
      <c r="Q272" s="24"/>
      <c r="R272" s="28"/>
    </row>
    <row r="273" spans="3:18" x14ac:dyDescent="0.2">
      <c r="C273" s="28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8"/>
      <c r="Q273" s="24"/>
      <c r="R273" s="28"/>
    </row>
    <row r="274" spans="3:18" x14ac:dyDescent="0.2">
      <c r="C274" s="28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8"/>
      <c r="Q274" s="24"/>
      <c r="R274" s="28"/>
    </row>
    <row r="275" spans="3:18" x14ac:dyDescent="0.2">
      <c r="C275" s="28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8"/>
      <c r="Q275" s="24"/>
      <c r="R275" s="28"/>
    </row>
    <row r="276" spans="3:18" x14ac:dyDescent="0.2">
      <c r="C276" s="28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8"/>
      <c r="Q276" s="24"/>
      <c r="R276" s="28"/>
    </row>
    <row r="277" spans="3:18" x14ac:dyDescent="0.2">
      <c r="C277" s="28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8"/>
      <c r="Q277" s="24"/>
      <c r="R277" s="28"/>
    </row>
    <row r="278" spans="3:18" x14ac:dyDescent="0.2">
      <c r="C278" s="28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8"/>
      <c r="Q278" s="24"/>
      <c r="R278" s="28"/>
    </row>
    <row r="279" spans="3:18" x14ac:dyDescent="0.2">
      <c r="C279" s="28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8"/>
      <c r="Q279" s="24"/>
      <c r="R279" s="28"/>
    </row>
    <row r="280" spans="3:18" x14ac:dyDescent="0.2">
      <c r="C280" s="28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8"/>
      <c r="Q280" s="24"/>
      <c r="R280" s="28"/>
    </row>
    <row r="281" spans="3:18" x14ac:dyDescent="0.2">
      <c r="C281" s="28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8"/>
      <c r="Q281" s="24"/>
      <c r="R281" s="28"/>
    </row>
    <row r="282" spans="3:18" x14ac:dyDescent="0.2">
      <c r="C282" s="28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8"/>
      <c r="Q282" s="24"/>
      <c r="R282" s="28"/>
    </row>
    <row r="283" spans="3:18" x14ac:dyDescent="0.2">
      <c r="C283" s="28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8"/>
      <c r="Q283" s="24"/>
      <c r="R283" s="28"/>
    </row>
    <row r="284" spans="3:18" x14ac:dyDescent="0.2">
      <c r="C284" s="28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8"/>
      <c r="Q284" s="24"/>
      <c r="R284" s="28"/>
    </row>
    <row r="285" spans="3:18" x14ac:dyDescent="0.2">
      <c r="C285" s="28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8"/>
      <c r="Q285" s="24"/>
      <c r="R285" s="28"/>
    </row>
    <row r="286" spans="3:18" x14ac:dyDescent="0.2">
      <c r="C286" s="28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8"/>
      <c r="Q286" s="24"/>
      <c r="R286" s="28"/>
    </row>
    <row r="287" spans="3:18" x14ac:dyDescent="0.2">
      <c r="C287" s="28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8"/>
      <c r="Q287" s="24"/>
      <c r="R287" s="28"/>
    </row>
    <row r="288" spans="3:18" x14ac:dyDescent="0.2">
      <c r="C288" s="28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8"/>
      <c r="Q288" s="24"/>
      <c r="R288" s="28"/>
    </row>
    <row r="289" spans="3:18" x14ac:dyDescent="0.2">
      <c r="C289" s="28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8"/>
      <c r="Q289" s="24"/>
      <c r="R289" s="28"/>
    </row>
    <row r="290" spans="3:18" x14ac:dyDescent="0.2">
      <c r="C290" s="28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8"/>
      <c r="Q290" s="24"/>
      <c r="R290" s="28"/>
    </row>
    <row r="291" spans="3:18" x14ac:dyDescent="0.2">
      <c r="C291" s="28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8"/>
      <c r="Q291" s="24"/>
      <c r="R291" s="28"/>
    </row>
    <row r="292" spans="3:18" x14ac:dyDescent="0.2">
      <c r="C292" s="28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8"/>
      <c r="Q292" s="24"/>
      <c r="R292" s="28"/>
    </row>
    <row r="293" spans="3:18" x14ac:dyDescent="0.2">
      <c r="C293" s="28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8"/>
      <c r="Q293" s="24"/>
      <c r="R293" s="28"/>
    </row>
    <row r="294" spans="3:18" x14ac:dyDescent="0.2">
      <c r="C294" s="28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8"/>
      <c r="Q294" s="24"/>
      <c r="R294" s="28"/>
    </row>
    <row r="295" spans="3:18" x14ac:dyDescent="0.2">
      <c r="C295" s="28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8"/>
      <c r="Q295" s="24"/>
      <c r="R295" s="28"/>
    </row>
    <row r="296" spans="3:18" x14ac:dyDescent="0.2">
      <c r="C296" s="28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8"/>
      <c r="Q296" s="24"/>
      <c r="R296" s="28"/>
    </row>
    <row r="297" spans="3:18" x14ac:dyDescent="0.2">
      <c r="C297" s="28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8"/>
      <c r="Q297" s="24"/>
      <c r="R297" s="28"/>
    </row>
    <row r="298" spans="3:18" x14ac:dyDescent="0.2">
      <c r="C298" s="28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8"/>
      <c r="Q298" s="24"/>
      <c r="R298" s="28"/>
    </row>
    <row r="299" spans="3:18" x14ac:dyDescent="0.2">
      <c r="C299" s="28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8"/>
      <c r="Q299" s="24"/>
      <c r="R299" s="28"/>
    </row>
    <row r="300" spans="3:18" x14ac:dyDescent="0.2">
      <c r="C300" s="28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8"/>
      <c r="Q300" s="24"/>
      <c r="R300" s="28"/>
    </row>
    <row r="301" spans="3:18" x14ac:dyDescent="0.2">
      <c r="C301" s="28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8"/>
      <c r="Q301" s="24"/>
      <c r="R301" s="28"/>
    </row>
    <row r="302" spans="3:18" x14ac:dyDescent="0.2">
      <c r="C302" s="28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8"/>
      <c r="Q302" s="24"/>
      <c r="R302" s="28"/>
    </row>
    <row r="303" spans="3:18" x14ac:dyDescent="0.2">
      <c r="C303" s="28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8"/>
      <c r="Q303" s="24"/>
      <c r="R303" s="28"/>
    </row>
    <row r="304" spans="3:18" x14ac:dyDescent="0.2">
      <c r="C304" s="28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8"/>
      <c r="Q304" s="24"/>
      <c r="R304" s="28"/>
    </row>
    <row r="305" spans="3:18" x14ac:dyDescent="0.2">
      <c r="C305" s="28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8"/>
      <c r="Q305" s="24"/>
      <c r="R305" s="28"/>
    </row>
    <row r="306" spans="3:18" x14ac:dyDescent="0.2">
      <c r="C306" s="28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8"/>
      <c r="Q306" s="24"/>
      <c r="R306" s="28"/>
    </row>
    <row r="307" spans="3:18" x14ac:dyDescent="0.2">
      <c r="C307" s="28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8"/>
      <c r="Q307" s="24"/>
      <c r="R307" s="28"/>
    </row>
    <row r="308" spans="3:18" x14ac:dyDescent="0.2">
      <c r="C308" s="28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8"/>
      <c r="Q308" s="24"/>
      <c r="R308" s="28"/>
    </row>
    <row r="309" spans="3:18" x14ac:dyDescent="0.2">
      <c r="C309" s="28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8"/>
      <c r="Q309" s="24"/>
      <c r="R309" s="28"/>
    </row>
    <row r="310" spans="3:18" x14ac:dyDescent="0.2">
      <c r="C310" s="28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8"/>
      <c r="Q310" s="24"/>
      <c r="R310" s="28"/>
    </row>
    <row r="311" spans="3:18" x14ac:dyDescent="0.2">
      <c r="C311" s="28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8"/>
      <c r="Q311" s="24"/>
      <c r="R311" s="28"/>
    </row>
    <row r="312" spans="3:18" x14ac:dyDescent="0.2">
      <c r="C312" s="28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8"/>
      <c r="Q312" s="24"/>
      <c r="R312" s="28"/>
    </row>
    <row r="313" spans="3:18" x14ac:dyDescent="0.2">
      <c r="C313" s="28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8"/>
      <c r="Q313" s="24"/>
      <c r="R313" s="28"/>
    </row>
    <row r="314" spans="3:18" x14ac:dyDescent="0.2">
      <c r="C314" s="28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8"/>
      <c r="Q314" s="24"/>
      <c r="R314" s="28"/>
    </row>
    <row r="315" spans="3:18" x14ac:dyDescent="0.2">
      <c r="C315" s="28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8"/>
      <c r="Q315" s="24"/>
      <c r="R315" s="28"/>
    </row>
    <row r="316" spans="3:18" x14ac:dyDescent="0.2">
      <c r="C316" s="28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8"/>
      <c r="Q316" s="24"/>
      <c r="R316" s="28"/>
    </row>
    <row r="317" spans="3:18" x14ac:dyDescent="0.2">
      <c r="C317" s="28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8"/>
      <c r="Q317" s="24"/>
      <c r="R317" s="28"/>
    </row>
    <row r="318" spans="3:18" x14ac:dyDescent="0.2">
      <c r="C318" s="28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8"/>
      <c r="Q318" s="24"/>
      <c r="R318" s="28"/>
    </row>
    <row r="319" spans="3:18" x14ac:dyDescent="0.2">
      <c r="C319" s="28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8"/>
      <c r="Q319" s="24"/>
      <c r="R319" s="28"/>
    </row>
    <row r="320" spans="3:18" x14ac:dyDescent="0.2">
      <c r="C320" s="28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8"/>
      <c r="Q320" s="24"/>
      <c r="R320" s="28"/>
    </row>
    <row r="321" spans="3:18" x14ac:dyDescent="0.2">
      <c r="C321" s="28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8"/>
      <c r="Q321" s="24"/>
      <c r="R321" s="28"/>
    </row>
    <row r="322" spans="3:18" x14ac:dyDescent="0.2">
      <c r="C322" s="28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8"/>
      <c r="Q322" s="24"/>
      <c r="R322" s="28"/>
    </row>
    <row r="323" spans="3:18" x14ac:dyDescent="0.2">
      <c r="C323" s="28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8"/>
      <c r="Q323" s="24"/>
      <c r="R323" s="28"/>
    </row>
    <row r="324" spans="3:18" x14ac:dyDescent="0.2">
      <c r="C324" s="28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8"/>
      <c r="Q324" s="24"/>
      <c r="R324" s="28"/>
    </row>
    <row r="325" spans="3:18" x14ac:dyDescent="0.2">
      <c r="C325" s="28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8"/>
      <c r="Q325" s="24"/>
      <c r="R325" s="28"/>
    </row>
    <row r="326" spans="3:18" x14ac:dyDescent="0.2">
      <c r="C326" s="28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8"/>
      <c r="Q326" s="24"/>
      <c r="R326" s="28"/>
    </row>
    <row r="327" spans="3:18" x14ac:dyDescent="0.2">
      <c r="C327" s="28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8"/>
      <c r="Q327" s="24"/>
      <c r="R327" s="28"/>
    </row>
    <row r="328" spans="3:18" x14ac:dyDescent="0.2">
      <c r="C328" s="28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8"/>
      <c r="Q328" s="24"/>
      <c r="R328" s="28"/>
    </row>
    <row r="329" spans="3:18" x14ac:dyDescent="0.2">
      <c r="C329" s="28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8"/>
      <c r="Q329" s="24"/>
      <c r="R329" s="28"/>
    </row>
    <row r="330" spans="3:18" x14ac:dyDescent="0.2">
      <c r="C330" s="28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8"/>
      <c r="Q330" s="24"/>
      <c r="R330" s="28"/>
    </row>
    <row r="331" spans="3:18" x14ac:dyDescent="0.2">
      <c r="C331" s="28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8"/>
      <c r="Q331" s="24"/>
      <c r="R331" s="28"/>
    </row>
    <row r="332" spans="3:18" x14ac:dyDescent="0.2">
      <c r="C332" s="28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8"/>
      <c r="Q332" s="24"/>
      <c r="R332" s="28"/>
    </row>
    <row r="333" spans="3:18" x14ac:dyDescent="0.2">
      <c r="C333" s="28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8"/>
      <c r="Q333" s="24"/>
      <c r="R333" s="28"/>
    </row>
    <row r="334" spans="3:18" x14ac:dyDescent="0.2">
      <c r="C334" s="28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8"/>
      <c r="Q334" s="24"/>
      <c r="R334" s="28"/>
    </row>
    <row r="335" spans="3:18" x14ac:dyDescent="0.2">
      <c r="C335" s="28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8"/>
      <c r="Q335" s="24"/>
      <c r="R335" s="28"/>
    </row>
    <row r="336" spans="3:18" x14ac:dyDescent="0.2">
      <c r="C336" s="28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8"/>
      <c r="Q336" s="24"/>
      <c r="R336" s="28"/>
    </row>
    <row r="337" spans="3:18" x14ac:dyDescent="0.2">
      <c r="C337" s="28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8"/>
      <c r="Q337" s="24"/>
      <c r="R337" s="28"/>
    </row>
    <row r="338" spans="3:18" x14ac:dyDescent="0.2">
      <c r="C338" s="28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8"/>
      <c r="Q338" s="24"/>
      <c r="R338" s="28"/>
    </row>
    <row r="339" spans="3:18" x14ac:dyDescent="0.2">
      <c r="C339" s="28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8"/>
      <c r="Q339" s="24"/>
      <c r="R339" s="28"/>
    </row>
    <row r="340" spans="3:18" x14ac:dyDescent="0.2">
      <c r="C340" s="28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8"/>
      <c r="Q340" s="24"/>
      <c r="R340" s="28"/>
    </row>
    <row r="341" spans="3:18" x14ac:dyDescent="0.2">
      <c r="C341" s="28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8"/>
      <c r="Q341" s="24"/>
      <c r="R341" s="28"/>
    </row>
    <row r="342" spans="3:18" x14ac:dyDescent="0.2">
      <c r="C342" s="28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8"/>
      <c r="Q342" s="24"/>
      <c r="R342" s="28"/>
    </row>
    <row r="343" spans="3:18" x14ac:dyDescent="0.2">
      <c r="C343" s="28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8"/>
      <c r="Q343" s="24"/>
      <c r="R343" s="28"/>
    </row>
    <row r="344" spans="3:18" x14ac:dyDescent="0.2">
      <c r="C344" s="28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8"/>
      <c r="Q344" s="24"/>
      <c r="R344" s="28"/>
    </row>
    <row r="345" spans="3:18" x14ac:dyDescent="0.2">
      <c r="C345" s="28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8"/>
      <c r="Q345" s="24"/>
      <c r="R345" s="28"/>
    </row>
    <row r="346" spans="3:18" x14ac:dyDescent="0.2">
      <c r="C346" s="28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8"/>
      <c r="Q346" s="24"/>
      <c r="R346" s="28"/>
    </row>
    <row r="347" spans="3:18" x14ac:dyDescent="0.2">
      <c r="C347" s="28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8"/>
      <c r="Q347" s="24"/>
      <c r="R347" s="28"/>
    </row>
    <row r="348" spans="3:18" x14ac:dyDescent="0.2">
      <c r="C348" s="28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8"/>
      <c r="Q348" s="24"/>
      <c r="R348" s="28"/>
    </row>
    <row r="349" spans="3:18" x14ac:dyDescent="0.2">
      <c r="C349" s="28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8"/>
      <c r="Q349" s="24"/>
      <c r="R349" s="28"/>
    </row>
    <row r="350" spans="3:18" x14ac:dyDescent="0.2">
      <c r="C350" s="28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8"/>
      <c r="Q350" s="24"/>
      <c r="R350" s="28"/>
    </row>
    <row r="351" spans="3:18" x14ac:dyDescent="0.2">
      <c r="C351" s="28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8"/>
      <c r="Q351" s="24"/>
      <c r="R351" s="28"/>
    </row>
    <row r="352" spans="3:18" x14ac:dyDescent="0.2">
      <c r="C352" s="28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8"/>
      <c r="Q352" s="24"/>
      <c r="R352" s="28"/>
    </row>
    <row r="353" spans="3:18" x14ac:dyDescent="0.2">
      <c r="C353" s="28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8"/>
      <c r="Q353" s="24"/>
      <c r="R353" s="28"/>
    </row>
    <row r="354" spans="3:18" x14ac:dyDescent="0.2">
      <c r="C354" s="28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8"/>
      <c r="Q354" s="24"/>
      <c r="R354" s="28"/>
    </row>
    <row r="355" spans="3:18" x14ac:dyDescent="0.2">
      <c r="C355" s="28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8"/>
      <c r="Q355" s="24"/>
      <c r="R355" s="28"/>
    </row>
    <row r="356" spans="3:18" x14ac:dyDescent="0.2">
      <c r="C356" s="28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8"/>
      <c r="Q356" s="24"/>
      <c r="R356" s="28"/>
    </row>
    <row r="357" spans="3:18" x14ac:dyDescent="0.2">
      <c r="C357" s="28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8"/>
      <c r="Q357" s="24"/>
      <c r="R357" s="28"/>
    </row>
    <row r="358" spans="3:18" x14ac:dyDescent="0.2">
      <c r="C358" s="28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8"/>
      <c r="Q358" s="24"/>
      <c r="R358" s="28"/>
    </row>
    <row r="359" spans="3:18" x14ac:dyDescent="0.2">
      <c r="C359" s="28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8"/>
      <c r="Q359" s="24"/>
      <c r="R359" s="28"/>
    </row>
    <row r="360" spans="3:18" x14ac:dyDescent="0.2">
      <c r="C360" s="28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8"/>
      <c r="Q360" s="24"/>
      <c r="R360" s="28"/>
    </row>
    <row r="361" spans="3:18" x14ac:dyDescent="0.2">
      <c r="C361" s="28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8"/>
      <c r="Q361" s="24"/>
      <c r="R361" s="28"/>
    </row>
    <row r="362" spans="3:18" x14ac:dyDescent="0.2">
      <c r="C362" s="28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8"/>
      <c r="Q362" s="24"/>
      <c r="R362" s="28"/>
    </row>
    <row r="363" spans="3:18" x14ac:dyDescent="0.2">
      <c r="C363" s="28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8"/>
      <c r="Q363" s="24"/>
      <c r="R363" s="28"/>
    </row>
    <row r="364" spans="3:18" x14ac:dyDescent="0.2">
      <c r="C364" s="28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8"/>
      <c r="Q364" s="24"/>
      <c r="R364" s="28"/>
    </row>
    <row r="365" spans="3:18" x14ac:dyDescent="0.2">
      <c r="C365" s="28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8"/>
      <c r="Q365" s="24"/>
      <c r="R365" s="28"/>
    </row>
    <row r="366" spans="3:18" x14ac:dyDescent="0.2">
      <c r="C366" s="28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8"/>
      <c r="Q366" s="24"/>
      <c r="R366" s="28"/>
    </row>
    <row r="367" spans="3:18" x14ac:dyDescent="0.2">
      <c r="C367" s="28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8"/>
      <c r="Q367" s="24"/>
      <c r="R367" s="28"/>
    </row>
    <row r="368" spans="3:18" x14ac:dyDescent="0.2">
      <c r="C368" s="28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8"/>
      <c r="Q368" s="24"/>
      <c r="R368" s="28"/>
    </row>
    <row r="369" spans="3:18" x14ac:dyDescent="0.2">
      <c r="C369" s="28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8"/>
      <c r="Q369" s="24"/>
      <c r="R369" s="28"/>
    </row>
    <row r="370" spans="3:18" x14ac:dyDescent="0.2">
      <c r="C370" s="28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8"/>
      <c r="Q370" s="24"/>
      <c r="R370" s="28"/>
    </row>
    <row r="371" spans="3:18" x14ac:dyDescent="0.2">
      <c r="C371" s="28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8"/>
      <c r="Q371" s="24"/>
      <c r="R371" s="28"/>
    </row>
    <row r="372" spans="3:18" x14ac:dyDescent="0.2">
      <c r="C372" s="28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8"/>
      <c r="Q372" s="24"/>
      <c r="R372" s="28"/>
    </row>
    <row r="373" spans="3:18" x14ac:dyDescent="0.2">
      <c r="C373" s="28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8"/>
      <c r="Q373" s="24"/>
      <c r="R373" s="28"/>
    </row>
    <row r="374" spans="3:18" x14ac:dyDescent="0.2">
      <c r="C374" s="28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8"/>
      <c r="Q374" s="24"/>
      <c r="R374" s="28"/>
    </row>
    <row r="375" spans="3:18" x14ac:dyDescent="0.2">
      <c r="C375" s="28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8"/>
      <c r="Q375" s="24"/>
      <c r="R375" s="28"/>
    </row>
    <row r="376" spans="3:18" x14ac:dyDescent="0.2">
      <c r="C376" s="28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8"/>
      <c r="Q376" s="24"/>
      <c r="R376" s="28"/>
    </row>
    <row r="377" spans="3:18" x14ac:dyDescent="0.2">
      <c r="C377" s="28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8"/>
      <c r="Q377" s="24"/>
      <c r="R377" s="28"/>
    </row>
    <row r="378" spans="3:18" x14ac:dyDescent="0.2">
      <c r="C378" s="28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8"/>
      <c r="Q378" s="24"/>
      <c r="R378" s="28"/>
    </row>
    <row r="379" spans="3:18" x14ac:dyDescent="0.2">
      <c r="C379" s="28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8"/>
      <c r="Q379" s="24"/>
      <c r="R379" s="28"/>
    </row>
    <row r="380" spans="3:18" x14ac:dyDescent="0.2">
      <c r="C380" s="28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8"/>
      <c r="Q380" s="24"/>
      <c r="R380" s="28"/>
    </row>
    <row r="381" spans="3:18" x14ac:dyDescent="0.2">
      <c r="C381" s="28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8"/>
      <c r="Q381" s="24"/>
      <c r="R381" s="28"/>
    </row>
    <row r="382" spans="3:18" x14ac:dyDescent="0.2">
      <c r="C382" s="28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8"/>
      <c r="Q382" s="24"/>
      <c r="R382" s="28"/>
    </row>
    <row r="383" spans="3:18" x14ac:dyDescent="0.2">
      <c r="C383" s="28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8"/>
      <c r="Q383" s="24"/>
      <c r="R383" s="28"/>
    </row>
    <row r="384" spans="3:18" x14ac:dyDescent="0.2">
      <c r="C384" s="28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8"/>
      <c r="Q384" s="24"/>
      <c r="R384" s="28"/>
    </row>
    <row r="385" spans="3:18" x14ac:dyDescent="0.2">
      <c r="C385" s="28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8"/>
      <c r="Q385" s="24"/>
      <c r="R385" s="28"/>
    </row>
    <row r="386" spans="3:18" x14ac:dyDescent="0.2">
      <c r="C386" s="28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8"/>
      <c r="Q386" s="24"/>
      <c r="R386" s="28"/>
    </row>
    <row r="387" spans="3:18" x14ac:dyDescent="0.2">
      <c r="C387" s="28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8"/>
      <c r="Q387" s="24"/>
      <c r="R387" s="28"/>
    </row>
    <row r="388" spans="3:18" x14ac:dyDescent="0.2">
      <c r="C388" s="28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8"/>
      <c r="Q388" s="24"/>
      <c r="R388" s="28"/>
    </row>
    <row r="389" spans="3:18" x14ac:dyDescent="0.2">
      <c r="C389" s="28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8"/>
      <c r="Q389" s="24"/>
      <c r="R389" s="28"/>
    </row>
    <row r="390" spans="3:18" x14ac:dyDescent="0.2">
      <c r="C390" s="28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8"/>
      <c r="Q390" s="24"/>
      <c r="R390" s="28"/>
    </row>
    <row r="391" spans="3:18" x14ac:dyDescent="0.2">
      <c r="C391" s="28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8"/>
      <c r="Q391" s="24"/>
      <c r="R391" s="28"/>
    </row>
    <row r="392" spans="3:18" x14ac:dyDescent="0.2">
      <c r="C392" s="28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8"/>
      <c r="Q392" s="24"/>
      <c r="R392" s="28"/>
    </row>
    <row r="393" spans="3:18" x14ac:dyDescent="0.2">
      <c r="C393" s="28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8"/>
      <c r="Q393" s="24"/>
      <c r="R393" s="28"/>
    </row>
    <row r="394" spans="3:18" x14ac:dyDescent="0.2">
      <c r="C394" s="28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8"/>
      <c r="Q394" s="24"/>
      <c r="R394" s="28"/>
    </row>
    <row r="395" spans="3:18" x14ac:dyDescent="0.2">
      <c r="C395" s="28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8"/>
      <c r="Q395" s="24"/>
      <c r="R395" s="28"/>
    </row>
    <row r="396" spans="3:18" x14ac:dyDescent="0.2">
      <c r="C396" s="28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8"/>
      <c r="Q396" s="24"/>
      <c r="R396" s="28"/>
    </row>
    <row r="397" spans="3:18" x14ac:dyDescent="0.2">
      <c r="C397" s="28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8"/>
      <c r="Q397" s="24"/>
      <c r="R397" s="28"/>
    </row>
    <row r="398" spans="3:18" x14ac:dyDescent="0.2">
      <c r="C398" s="28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8"/>
      <c r="Q398" s="24"/>
      <c r="R398" s="28"/>
    </row>
    <row r="399" spans="3:18" x14ac:dyDescent="0.2">
      <c r="C399" s="28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8"/>
      <c r="Q399" s="24"/>
      <c r="R399" s="28"/>
    </row>
    <row r="400" spans="3:18" x14ac:dyDescent="0.2">
      <c r="C400" s="28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8"/>
      <c r="Q400" s="24"/>
      <c r="R400" s="28"/>
    </row>
    <row r="401" spans="3:18" x14ac:dyDescent="0.2">
      <c r="C401" s="28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8"/>
      <c r="Q401" s="24"/>
      <c r="R401" s="28"/>
    </row>
    <row r="402" spans="3:18" x14ac:dyDescent="0.2">
      <c r="C402" s="28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8"/>
      <c r="Q402" s="24"/>
      <c r="R402" s="28"/>
    </row>
    <row r="403" spans="3:18" x14ac:dyDescent="0.2">
      <c r="C403" s="28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8"/>
      <c r="Q403" s="24"/>
      <c r="R403" s="28"/>
    </row>
    <row r="404" spans="3:18" x14ac:dyDescent="0.2">
      <c r="C404" s="28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8"/>
      <c r="Q404" s="24"/>
      <c r="R404" s="28"/>
    </row>
    <row r="405" spans="3:18" x14ac:dyDescent="0.2">
      <c r="C405" s="28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8"/>
      <c r="Q405" s="24"/>
      <c r="R405" s="28"/>
    </row>
    <row r="406" spans="3:18" x14ac:dyDescent="0.2">
      <c r="C406" s="28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8"/>
      <c r="Q406" s="24"/>
      <c r="R406" s="28"/>
    </row>
    <row r="407" spans="3:18" x14ac:dyDescent="0.2">
      <c r="C407" s="28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8"/>
      <c r="Q407" s="24"/>
      <c r="R407" s="28"/>
    </row>
    <row r="408" spans="3:18" x14ac:dyDescent="0.2">
      <c r="C408" s="28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8"/>
      <c r="Q408" s="24"/>
      <c r="R408" s="28"/>
    </row>
    <row r="409" spans="3:18" x14ac:dyDescent="0.2">
      <c r="C409" s="28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8"/>
      <c r="Q409" s="24"/>
      <c r="R409" s="28"/>
    </row>
    <row r="410" spans="3:18" x14ac:dyDescent="0.2">
      <c r="C410" s="28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8"/>
      <c r="Q410" s="24"/>
      <c r="R410" s="28"/>
    </row>
    <row r="411" spans="3:18" x14ac:dyDescent="0.2">
      <c r="C411" s="28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8"/>
      <c r="Q411" s="24"/>
      <c r="R411" s="28"/>
    </row>
    <row r="412" spans="3:18" x14ac:dyDescent="0.2">
      <c r="C412" s="28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8"/>
      <c r="Q412" s="24"/>
      <c r="R412" s="28"/>
    </row>
    <row r="413" spans="3:18" x14ac:dyDescent="0.2">
      <c r="C413" s="28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8"/>
      <c r="Q413" s="24"/>
      <c r="R413" s="28"/>
    </row>
    <row r="414" spans="3:18" x14ac:dyDescent="0.2">
      <c r="C414" s="28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8"/>
      <c r="Q414" s="24"/>
      <c r="R414" s="28"/>
    </row>
    <row r="415" spans="3:18" x14ac:dyDescent="0.2">
      <c r="C415" s="28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8"/>
      <c r="Q415" s="24"/>
      <c r="R415" s="28"/>
    </row>
    <row r="416" spans="3:18" x14ac:dyDescent="0.2">
      <c r="C416" s="28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8"/>
      <c r="Q416" s="24"/>
      <c r="R416" s="28"/>
    </row>
    <row r="417" spans="3:18" x14ac:dyDescent="0.2">
      <c r="C417" s="28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8"/>
      <c r="Q417" s="24"/>
      <c r="R417" s="28"/>
    </row>
    <row r="418" spans="3:18" x14ac:dyDescent="0.2">
      <c r="C418" s="28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8"/>
      <c r="Q418" s="24"/>
      <c r="R418" s="28"/>
    </row>
    <row r="419" spans="3:18" x14ac:dyDescent="0.2">
      <c r="C419" s="28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8"/>
      <c r="Q419" s="24"/>
      <c r="R419" s="28"/>
    </row>
    <row r="420" spans="3:18" x14ac:dyDescent="0.2">
      <c r="C420" s="28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8"/>
      <c r="Q420" s="24"/>
      <c r="R420" s="28"/>
    </row>
    <row r="421" spans="3:18" x14ac:dyDescent="0.2">
      <c r="C421" s="28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8"/>
      <c r="Q421" s="24"/>
      <c r="R421" s="28"/>
    </row>
    <row r="422" spans="3:18" x14ac:dyDescent="0.2">
      <c r="C422" s="28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8"/>
      <c r="Q422" s="24"/>
      <c r="R422" s="28"/>
    </row>
    <row r="423" spans="3:18" x14ac:dyDescent="0.2">
      <c r="C423" s="28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8"/>
      <c r="Q423" s="24"/>
      <c r="R423" s="28"/>
    </row>
    <row r="424" spans="3:18" x14ac:dyDescent="0.2">
      <c r="C424" s="28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8"/>
      <c r="Q424" s="24"/>
      <c r="R424" s="28"/>
    </row>
    <row r="425" spans="3:18" x14ac:dyDescent="0.2">
      <c r="C425" s="28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8"/>
      <c r="Q425" s="24"/>
      <c r="R425" s="28"/>
    </row>
    <row r="426" spans="3:18" x14ac:dyDescent="0.2">
      <c r="C426" s="28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8"/>
      <c r="Q426" s="24"/>
      <c r="R426" s="28"/>
    </row>
    <row r="427" spans="3:18" x14ac:dyDescent="0.2">
      <c r="C427" s="28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8"/>
      <c r="Q427" s="24"/>
      <c r="R427" s="28"/>
    </row>
    <row r="428" spans="3:18" x14ac:dyDescent="0.2">
      <c r="C428" s="28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8"/>
      <c r="Q428" s="24"/>
      <c r="R428" s="28"/>
    </row>
    <row r="429" spans="3:18" x14ac:dyDescent="0.2">
      <c r="C429" s="28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8"/>
      <c r="Q429" s="24"/>
      <c r="R429" s="28"/>
    </row>
    <row r="430" spans="3:18" x14ac:dyDescent="0.2">
      <c r="C430" s="28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8"/>
      <c r="Q430" s="24"/>
      <c r="R430" s="28"/>
    </row>
    <row r="431" spans="3:18" x14ac:dyDescent="0.2">
      <c r="C431" s="28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8"/>
      <c r="Q431" s="24"/>
      <c r="R431" s="28"/>
    </row>
    <row r="432" spans="3:18" x14ac:dyDescent="0.2">
      <c r="C432" s="28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8"/>
      <c r="Q432" s="24"/>
      <c r="R432" s="28"/>
    </row>
    <row r="433" spans="3:18" x14ac:dyDescent="0.2">
      <c r="C433" s="28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8"/>
      <c r="Q433" s="24"/>
      <c r="R433" s="28"/>
    </row>
    <row r="434" spans="3:18" x14ac:dyDescent="0.2">
      <c r="C434" s="28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8"/>
      <c r="Q434" s="24"/>
      <c r="R434" s="28"/>
    </row>
    <row r="435" spans="3:18" x14ac:dyDescent="0.2">
      <c r="C435" s="28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8"/>
      <c r="Q435" s="24"/>
      <c r="R435" s="28"/>
    </row>
    <row r="436" spans="3:18" x14ac:dyDescent="0.2">
      <c r="C436" s="28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8"/>
      <c r="Q436" s="24"/>
      <c r="R436" s="28"/>
    </row>
    <row r="437" spans="3:18" x14ac:dyDescent="0.2">
      <c r="C437" s="28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8"/>
      <c r="Q437" s="24"/>
      <c r="R437" s="28"/>
    </row>
    <row r="438" spans="3:18" x14ac:dyDescent="0.2">
      <c r="C438" s="28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8"/>
      <c r="Q438" s="24"/>
      <c r="R438" s="28"/>
    </row>
    <row r="439" spans="3:18" x14ac:dyDescent="0.2">
      <c r="C439" s="28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8"/>
      <c r="Q439" s="24"/>
      <c r="R439" s="28"/>
    </row>
    <row r="440" spans="3:18" x14ac:dyDescent="0.2">
      <c r="C440" s="28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8"/>
      <c r="Q440" s="24"/>
      <c r="R440" s="28"/>
    </row>
    <row r="441" spans="3:18" x14ac:dyDescent="0.2">
      <c r="C441" s="28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8"/>
      <c r="Q441" s="24"/>
      <c r="R441" s="28"/>
    </row>
    <row r="442" spans="3:18" x14ac:dyDescent="0.2">
      <c r="C442" s="28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8"/>
      <c r="Q442" s="24"/>
      <c r="R442" s="28"/>
    </row>
    <row r="443" spans="3:18" x14ac:dyDescent="0.2">
      <c r="C443" s="28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8"/>
      <c r="Q443" s="24"/>
      <c r="R443" s="28"/>
    </row>
    <row r="444" spans="3:18" x14ac:dyDescent="0.2">
      <c r="C444" s="28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8"/>
      <c r="Q444" s="24"/>
      <c r="R444" s="28"/>
    </row>
    <row r="445" spans="3:18" x14ac:dyDescent="0.2">
      <c r="C445" s="28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8"/>
      <c r="Q445" s="24"/>
      <c r="R445" s="28"/>
    </row>
    <row r="446" spans="3:18" x14ac:dyDescent="0.2">
      <c r="C446" s="28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8"/>
      <c r="Q446" s="24"/>
      <c r="R446" s="28"/>
    </row>
    <row r="447" spans="3:18" x14ac:dyDescent="0.2">
      <c r="C447" s="28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8"/>
      <c r="Q447" s="24"/>
      <c r="R447" s="28"/>
    </row>
    <row r="448" spans="3:18" x14ac:dyDescent="0.2">
      <c r="C448" s="28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8"/>
      <c r="Q448" s="24"/>
      <c r="R448" s="28"/>
    </row>
    <row r="449" spans="3:18" x14ac:dyDescent="0.2">
      <c r="C449" s="28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8"/>
      <c r="Q449" s="24"/>
      <c r="R449" s="28"/>
    </row>
    <row r="450" spans="3:18" x14ac:dyDescent="0.2">
      <c r="C450" s="28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8"/>
      <c r="Q450" s="24"/>
      <c r="R450" s="28"/>
    </row>
    <row r="451" spans="3:18" x14ac:dyDescent="0.2">
      <c r="C451" s="28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8"/>
      <c r="Q451" s="24"/>
      <c r="R451" s="28"/>
    </row>
    <row r="452" spans="3:18" x14ac:dyDescent="0.2">
      <c r="C452" s="28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8"/>
      <c r="Q452" s="24"/>
      <c r="R452" s="28"/>
    </row>
    <row r="453" spans="3:18" x14ac:dyDescent="0.2">
      <c r="C453" s="28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8"/>
      <c r="Q453" s="24"/>
      <c r="R453" s="28"/>
    </row>
    <row r="454" spans="3:18" x14ac:dyDescent="0.2">
      <c r="C454" s="28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8"/>
      <c r="Q454" s="24"/>
      <c r="R454" s="28"/>
    </row>
    <row r="455" spans="3:18" x14ac:dyDescent="0.2">
      <c r="C455" s="28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8"/>
      <c r="Q455" s="24"/>
      <c r="R455" s="28"/>
    </row>
    <row r="456" spans="3:18" x14ac:dyDescent="0.2">
      <c r="C456" s="28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8"/>
      <c r="Q456" s="24"/>
      <c r="R456" s="28"/>
    </row>
    <row r="457" spans="3:18" x14ac:dyDescent="0.2">
      <c r="C457" s="28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8"/>
      <c r="Q457" s="24"/>
      <c r="R457" s="28"/>
    </row>
    <row r="458" spans="3:18" x14ac:dyDescent="0.2">
      <c r="C458" s="28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8"/>
      <c r="Q458" s="24"/>
      <c r="R458" s="28"/>
    </row>
    <row r="459" spans="3:18" x14ac:dyDescent="0.2">
      <c r="C459" s="28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8"/>
      <c r="Q459" s="24"/>
      <c r="R459" s="28"/>
    </row>
    <row r="460" spans="3:18" x14ac:dyDescent="0.2">
      <c r="C460" s="28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8"/>
      <c r="Q460" s="24"/>
      <c r="R460" s="28"/>
    </row>
    <row r="461" spans="3:18" x14ac:dyDescent="0.2">
      <c r="C461" s="28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8"/>
      <c r="Q461" s="24"/>
      <c r="R461" s="28"/>
    </row>
    <row r="462" spans="3:18" x14ac:dyDescent="0.2">
      <c r="C462" s="28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8"/>
      <c r="Q462" s="24"/>
      <c r="R462" s="28"/>
    </row>
    <row r="463" spans="3:18" x14ac:dyDescent="0.2">
      <c r="C463" s="28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8"/>
      <c r="Q463" s="24"/>
      <c r="R463" s="28"/>
    </row>
    <row r="464" spans="3:18" x14ac:dyDescent="0.2">
      <c r="C464" s="28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8"/>
      <c r="Q464" s="24"/>
      <c r="R464" s="28"/>
    </row>
    <row r="465" spans="3:18" x14ac:dyDescent="0.2">
      <c r="C465" s="28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8"/>
      <c r="Q465" s="24"/>
      <c r="R465" s="28"/>
    </row>
    <row r="466" spans="3:18" x14ac:dyDescent="0.2">
      <c r="C466" s="28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8"/>
      <c r="Q466" s="24"/>
      <c r="R466" s="28"/>
    </row>
    <row r="467" spans="3:18" x14ac:dyDescent="0.2">
      <c r="C467" s="28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8"/>
      <c r="Q467" s="24"/>
      <c r="R467" s="28"/>
    </row>
    <row r="468" spans="3:18" x14ac:dyDescent="0.2">
      <c r="C468" s="28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8"/>
      <c r="Q468" s="24"/>
      <c r="R468" s="28"/>
    </row>
    <row r="469" spans="3:18" x14ac:dyDescent="0.2">
      <c r="C469" s="28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8"/>
      <c r="Q469" s="24"/>
      <c r="R469" s="28"/>
    </row>
    <row r="470" spans="3:18" x14ac:dyDescent="0.2">
      <c r="C470" s="28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8"/>
      <c r="Q470" s="24"/>
      <c r="R470" s="28"/>
    </row>
    <row r="471" spans="3:18" x14ac:dyDescent="0.2">
      <c r="C471" s="28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8"/>
      <c r="Q471" s="24"/>
      <c r="R471" s="28"/>
    </row>
    <row r="472" spans="3:18" x14ac:dyDescent="0.2">
      <c r="C472" s="28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8"/>
      <c r="Q472" s="24"/>
      <c r="R472" s="28"/>
    </row>
    <row r="473" spans="3:18" x14ac:dyDescent="0.2">
      <c r="C473" s="28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8"/>
      <c r="Q473" s="24"/>
      <c r="R473" s="28"/>
    </row>
    <row r="474" spans="3:18" x14ac:dyDescent="0.2">
      <c r="C474" s="28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8"/>
      <c r="Q474" s="24"/>
      <c r="R474" s="28"/>
    </row>
    <row r="475" spans="3:18" x14ac:dyDescent="0.2">
      <c r="C475" s="28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8"/>
      <c r="Q475" s="24"/>
      <c r="R475" s="28"/>
    </row>
    <row r="476" spans="3:18" x14ac:dyDescent="0.2">
      <c r="C476" s="28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8"/>
      <c r="Q476" s="24"/>
      <c r="R476" s="28"/>
    </row>
    <row r="477" spans="3:18" x14ac:dyDescent="0.2">
      <c r="C477" s="28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8"/>
      <c r="Q477" s="24"/>
      <c r="R477" s="28"/>
    </row>
    <row r="478" spans="3:18" x14ac:dyDescent="0.2">
      <c r="C478" s="28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8"/>
      <c r="Q478" s="24"/>
      <c r="R478" s="28"/>
    </row>
    <row r="479" spans="3:18" x14ac:dyDescent="0.2">
      <c r="C479" s="28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8"/>
      <c r="Q479" s="24"/>
      <c r="R479" s="28"/>
    </row>
    <row r="480" spans="3:18" x14ac:dyDescent="0.2">
      <c r="C480" s="28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8"/>
      <c r="Q480" s="24"/>
      <c r="R480" s="28"/>
    </row>
    <row r="481" spans="3:18" x14ac:dyDescent="0.2">
      <c r="C481" s="28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8"/>
      <c r="Q481" s="24"/>
      <c r="R481" s="28"/>
    </row>
    <row r="482" spans="3:18" x14ac:dyDescent="0.2">
      <c r="C482" s="28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8"/>
      <c r="Q482" s="24"/>
      <c r="R482" s="28"/>
    </row>
    <row r="483" spans="3:18" x14ac:dyDescent="0.2">
      <c r="C483" s="28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8"/>
      <c r="Q483" s="24"/>
      <c r="R483" s="28"/>
    </row>
    <row r="484" spans="3:18" x14ac:dyDescent="0.2">
      <c r="C484" s="28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8"/>
      <c r="Q484" s="24"/>
      <c r="R484" s="28"/>
    </row>
    <row r="485" spans="3:18" x14ac:dyDescent="0.2">
      <c r="C485" s="28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8"/>
      <c r="Q485" s="24"/>
      <c r="R485" s="28"/>
    </row>
    <row r="486" spans="3:18" x14ac:dyDescent="0.2">
      <c r="C486" s="28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8"/>
      <c r="Q486" s="24"/>
      <c r="R486" s="28"/>
    </row>
    <row r="487" spans="3:18" x14ac:dyDescent="0.2">
      <c r="C487" s="28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8"/>
      <c r="Q487" s="24"/>
      <c r="R487" s="28"/>
    </row>
    <row r="488" spans="3:18" x14ac:dyDescent="0.2">
      <c r="C488" s="28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8"/>
      <c r="Q488" s="24"/>
      <c r="R488" s="28"/>
    </row>
    <row r="489" spans="3:18" x14ac:dyDescent="0.2">
      <c r="C489" s="28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8"/>
      <c r="Q489" s="24"/>
      <c r="R489" s="28"/>
    </row>
    <row r="490" spans="3:18" x14ac:dyDescent="0.2">
      <c r="C490" s="28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8"/>
      <c r="Q490" s="24"/>
      <c r="R490" s="28"/>
    </row>
    <row r="491" spans="3:18" x14ac:dyDescent="0.2">
      <c r="C491" s="28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8"/>
      <c r="Q491" s="24"/>
      <c r="R491" s="28"/>
    </row>
    <row r="492" spans="3:18" x14ac:dyDescent="0.2">
      <c r="C492" s="28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8"/>
      <c r="Q492" s="24"/>
      <c r="R492" s="28"/>
    </row>
    <row r="493" spans="3:18" x14ac:dyDescent="0.2">
      <c r="C493" s="28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8"/>
      <c r="Q493" s="24"/>
      <c r="R493" s="28"/>
    </row>
    <row r="494" spans="3:18" x14ac:dyDescent="0.2">
      <c r="C494" s="28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8"/>
      <c r="Q494" s="24"/>
      <c r="R494" s="28"/>
    </row>
    <row r="495" spans="3:18" x14ac:dyDescent="0.2">
      <c r="C495" s="28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8"/>
      <c r="Q495" s="24"/>
      <c r="R495" s="28"/>
    </row>
    <row r="496" spans="3:18" x14ac:dyDescent="0.2">
      <c r="C496" s="28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8"/>
      <c r="Q496" s="24"/>
      <c r="R496" s="28"/>
    </row>
    <row r="497" spans="3:18" x14ac:dyDescent="0.2">
      <c r="C497" s="28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8"/>
      <c r="Q497" s="24"/>
      <c r="R497" s="28"/>
    </row>
    <row r="498" spans="3:18" x14ac:dyDescent="0.2">
      <c r="C498" s="28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8"/>
      <c r="Q498" s="24"/>
      <c r="R498" s="28"/>
    </row>
    <row r="499" spans="3:18" x14ac:dyDescent="0.2">
      <c r="C499" s="28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8"/>
      <c r="Q499" s="24"/>
      <c r="R499" s="28"/>
    </row>
    <row r="500" spans="3:18" x14ac:dyDescent="0.2">
      <c r="C500" s="28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8"/>
      <c r="Q500" s="24"/>
      <c r="R500" s="28"/>
    </row>
    <row r="501" spans="3:18" x14ac:dyDescent="0.2">
      <c r="C501" s="28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8"/>
      <c r="Q501" s="24"/>
      <c r="R501" s="28"/>
    </row>
    <row r="502" spans="3:18" x14ac:dyDescent="0.2">
      <c r="C502" s="28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8"/>
      <c r="Q502" s="24"/>
      <c r="R502" s="28"/>
    </row>
    <row r="503" spans="3:18" x14ac:dyDescent="0.2">
      <c r="C503" s="28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8"/>
      <c r="Q503" s="24"/>
      <c r="R503" s="28"/>
    </row>
    <row r="504" spans="3:18" x14ac:dyDescent="0.2">
      <c r="C504" s="28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8"/>
      <c r="Q504" s="24"/>
      <c r="R504" s="28"/>
    </row>
    <row r="505" spans="3:18" x14ac:dyDescent="0.2">
      <c r="C505" s="28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8"/>
      <c r="Q505" s="24"/>
      <c r="R505" s="28"/>
    </row>
    <row r="506" spans="3:18" x14ac:dyDescent="0.2">
      <c r="C506" s="28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8"/>
      <c r="Q506" s="24"/>
      <c r="R506" s="28"/>
    </row>
    <row r="507" spans="3:18" x14ac:dyDescent="0.2">
      <c r="C507" s="28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8"/>
      <c r="Q507" s="24"/>
      <c r="R507" s="28"/>
    </row>
    <row r="508" spans="3:18" x14ac:dyDescent="0.2">
      <c r="C508" s="28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8"/>
      <c r="Q508" s="24"/>
      <c r="R508" s="28"/>
    </row>
    <row r="509" spans="3:18" x14ac:dyDescent="0.2">
      <c r="C509" s="28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8"/>
      <c r="Q509" s="24"/>
      <c r="R509" s="28"/>
    </row>
    <row r="510" spans="3:18" x14ac:dyDescent="0.2">
      <c r="C510" s="28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8"/>
      <c r="Q510" s="24"/>
      <c r="R510" s="28"/>
    </row>
    <row r="511" spans="3:18" x14ac:dyDescent="0.2">
      <c r="C511" s="28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8"/>
      <c r="Q511" s="24"/>
      <c r="R511" s="28"/>
    </row>
    <row r="512" spans="3:18" x14ac:dyDescent="0.2">
      <c r="C512" s="28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8"/>
      <c r="Q512" s="24"/>
      <c r="R512" s="28"/>
    </row>
    <row r="513" spans="3:18" x14ac:dyDescent="0.2">
      <c r="C513" s="28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8"/>
      <c r="Q513" s="24"/>
      <c r="R513" s="28"/>
    </row>
    <row r="514" spans="3:18" x14ac:dyDescent="0.2">
      <c r="C514" s="28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8"/>
      <c r="Q514" s="24"/>
      <c r="R514" s="28"/>
    </row>
    <row r="515" spans="3:18" x14ac:dyDescent="0.2">
      <c r="C515" s="28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8"/>
      <c r="Q515" s="24"/>
      <c r="R515" s="28"/>
    </row>
    <row r="516" spans="3:18" x14ac:dyDescent="0.2">
      <c r="C516" s="28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8"/>
      <c r="Q516" s="24"/>
      <c r="R516" s="28"/>
    </row>
    <row r="517" spans="3:18" x14ac:dyDescent="0.2">
      <c r="C517" s="28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8"/>
      <c r="Q517" s="24"/>
      <c r="R517" s="28"/>
    </row>
    <row r="518" spans="3:18" x14ac:dyDescent="0.2">
      <c r="C518" s="28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8"/>
      <c r="Q518" s="24"/>
      <c r="R518" s="28"/>
    </row>
    <row r="519" spans="3:18" x14ac:dyDescent="0.2">
      <c r="C519" s="28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8"/>
      <c r="Q519" s="24"/>
      <c r="R519" s="28"/>
    </row>
    <row r="520" spans="3:18" x14ac:dyDescent="0.2">
      <c r="C520" s="28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8"/>
      <c r="Q520" s="24"/>
      <c r="R520" s="28"/>
    </row>
    <row r="521" spans="3:18" x14ac:dyDescent="0.2">
      <c r="C521" s="28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8"/>
      <c r="Q521" s="24"/>
      <c r="R521" s="28"/>
    </row>
    <row r="522" spans="3:18" x14ac:dyDescent="0.2">
      <c r="C522" s="28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8"/>
      <c r="Q522" s="24"/>
      <c r="R522" s="28"/>
    </row>
    <row r="523" spans="3:18" x14ac:dyDescent="0.2">
      <c r="C523" s="28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8"/>
      <c r="Q523" s="24"/>
      <c r="R523" s="28"/>
    </row>
    <row r="524" spans="3:18" x14ac:dyDescent="0.2">
      <c r="C524" s="28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8"/>
      <c r="Q524" s="24"/>
      <c r="R524" s="28"/>
    </row>
    <row r="525" spans="3:18" x14ac:dyDescent="0.2">
      <c r="C525" s="28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8"/>
      <c r="Q525" s="24"/>
      <c r="R525" s="28"/>
    </row>
    <row r="526" spans="3:18" x14ac:dyDescent="0.2">
      <c r="C526" s="28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8"/>
      <c r="Q526" s="24"/>
      <c r="R526" s="28"/>
    </row>
    <row r="527" spans="3:18" x14ac:dyDescent="0.2">
      <c r="C527" s="28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8"/>
      <c r="Q527" s="24"/>
      <c r="R527" s="28"/>
    </row>
    <row r="528" spans="3:18" x14ac:dyDescent="0.2">
      <c r="C528" s="28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8"/>
      <c r="Q528" s="24"/>
      <c r="R528" s="28"/>
    </row>
    <row r="529" spans="3:18" x14ac:dyDescent="0.2">
      <c r="C529" s="28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8"/>
      <c r="Q529" s="24"/>
      <c r="R529" s="28"/>
    </row>
    <row r="530" spans="3:18" x14ac:dyDescent="0.2">
      <c r="C530" s="28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8"/>
      <c r="Q530" s="24"/>
      <c r="R530" s="28"/>
    </row>
    <row r="531" spans="3:18" x14ac:dyDescent="0.2">
      <c r="C531" s="28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8"/>
      <c r="Q531" s="24"/>
      <c r="R531" s="28"/>
    </row>
    <row r="532" spans="3:18" x14ac:dyDescent="0.2">
      <c r="C532" s="28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8"/>
      <c r="Q532" s="24"/>
      <c r="R532" s="28"/>
    </row>
    <row r="533" spans="3:18" x14ac:dyDescent="0.2">
      <c r="C533" s="28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8"/>
      <c r="Q533" s="24"/>
      <c r="R533" s="28"/>
    </row>
    <row r="534" spans="3:18" x14ac:dyDescent="0.2">
      <c r="C534" s="28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8"/>
      <c r="Q534" s="24"/>
      <c r="R534" s="28"/>
    </row>
    <row r="535" spans="3:18" x14ac:dyDescent="0.2">
      <c r="C535" s="28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8"/>
      <c r="Q535" s="24"/>
      <c r="R535" s="28"/>
    </row>
    <row r="536" spans="3:18" x14ac:dyDescent="0.2">
      <c r="C536" s="28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8"/>
      <c r="Q536" s="24"/>
      <c r="R536" s="28"/>
    </row>
    <row r="537" spans="3:18" x14ac:dyDescent="0.2">
      <c r="C537" s="28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8"/>
      <c r="Q537" s="24"/>
      <c r="R537" s="28"/>
    </row>
    <row r="538" spans="3:18" x14ac:dyDescent="0.2">
      <c r="C538" s="28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8"/>
      <c r="Q538" s="24"/>
      <c r="R538" s="28"/>
    </row>
    <row r="539" spans="3:18" x14ac:dyDescent="0.2">
      <c r="C539" s="28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8"/>
      <c r="Q539" s="24"/>
      <c r="R539" s="28"/>
    </row>
    <row r="540" spans="3:18" x14ac:dyDescent="0.2">
      <c r="C540" s="28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8"/>
      <c r="Q540" s="24"/>
      <c r="R540" s="28"/>
    </row>
    <row r="541" spans="3:18" x14ac:dyDescent="0.2">
      <c r="C541" s="28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8"/>
      <c r="Q541" s="24"/>
      <c r="R541" s="28"/>
    </row>
    <row r="542" spans="3:18" x14ac:dyDescent="0.2">
      <c r="C542" s="28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8"/>
      <c r="Q542" s="24"/>
      <c r="R542" s="28"/>
    </row>
    <row r="543" spans="3:18" x14ac:dyDescent="0.2">
      <c r="C543" s="28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8"/>
      <c r="Q543" s="24"/>
      <c r="R543" s="28"/>
    </row>
    <row r="544" spans="3:18" x14ac:dyDescent="0.2">
      <c r="C544" s="28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8"/>
      <c r="Q544" s="24"/>
      <c r="R544" s="28"/>
    </row>
    <row r="545" spans="3:18" x14ac:dyDescent="0.2">
      <c r="C545" s="28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8"/>
      <c r="Q545" s="24"/>
      <c r="R545" s="28"/>
    </row>
    <row r="546" spans="3:18" x14ac:dyDescent="0.2">
      <c r="C546" s="28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8"/>
      <c r="Q546" s="24"/>
      <c r="R546" s="28"/>
    </row>
    <row r="547" spans="3:18" x14ac:dyDescent="0.2">
      <c r="C547" s="28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8"/>
      <c r="Q547" s="24"/>
      <c r="R547" s="28"/>
    </row>
    <row r="548" spans="3:18" x14ac:dyDescent="0.2">
      <c r="C548" s="28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8"/>
      <c r="Q548" s="24"/>
      <c r="R548" s="28"/>
    </row>
    <row r="549" spans="3:18" x14ac:dyDescent="0.2">
      <c r="C549" s="28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8"/>
      <c r="Q549" s="24"/>
      <c r="R549" s="28"/>
    </row>
    <row r="550" spans="3:18" x14ac:dyDescent="0.2">
      <c r="C550" s="28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8"/>
      <c r="Q550" s="24"/>
      <c r="R550" s="28"/>
    </row>
    <row r="551" spans="3:18" x14ac:dyDescent="0.2">
      <c r="C551" s="28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8"/>
      <c r="Q551" s="24"/>
      <c r="R551" s="28"/>
    </row>
    <row r="552" spans="3:18" x14ac:dyDescent="0.2">
      <c r="C552" s="28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8"/>
      <c r="Q552" s="24"/>
      <c r="R552" s="28"/>
    </row>
    <row r="553" spans="3:18" x14ac:dyDescent="0.2">
      <c r="C553" s="28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8"/>
      <c r="Q553" s="24"/>
      <c r="R553" s="28"/>
    </row>
    <row r="554" spans="3:18" x14ac:dyDescent="0.2">
      <c r="C554" s="28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8"/>
      <c r="Q554" s="24"/>
      <c r="R554" s="28"/>
    </row>
    <row r="555" spans="3:18" x14ac:dyDescent="0.2">
      <c r="C555" s="28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8"/>
      <c r="Q555" s="24"/>
      <c r="R555" s="28"/>
    </row>
    <row r="556" spans="3:18" x14ac:dyDescent="0.2">
      <c r="C556" s="28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8"/>
      <c r="Q556" s="24"/>
      <c r="R556" s="28"/>
    </row>
    <row r="557" spans="3:18" x14ac:dyDescent="0.2">
      <c r="C557" s="28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8"/>
      <c r="Q557" s="24"/>
      <c r="R557" s="28"/>
    </row>
    <row r="558" spans="3:18" x14ac:dyDescent="0.2">
      <c r="C558" s="28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8"/>
      <c r="Q558" s="24"/>
      <c r="R558" s="28"/>
    </row>
    <row r="559" spans="3:18" x14ac:dyDescent="0.2">
      <c r="C559" s="28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8"/>
      <c r="Q559" s="24"/>
      <c r="R559" s="28"/>
    </row>
    <row r="560" spans="3:18" x14ac:dyDescent="0.2">
      <c r="C560" s="28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8"/>
      <c r="Q560" s="24"/>
      <c r="R560" s="28"/>
    </row>
    <row r="561" spans="3:18" x14ac:dyDescent="0.2">
      <c r="C561" s="28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8"/>
      <c r="Q561" s="24"/>
      <c r="R561" s="28"/>
    </row>
    <row r="562" spans="3:18" x14ac:dyDescent="0.2">
      <c r="C562" s="28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8"/>
      <c r="Q562" s="24"/>
      <c r="R562" s="28"/>
    </row>
    <row r="563" spans="3:18" x14ac:dyDescent="0.2">
      <c r="C563" s="28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8"/>
      <c r="Q563" s="24"/>
      <c r="R563" s="28"/>
    </row>
    <row r="564" spans="3:18" x14ac:dyDescent="0.2">
      <c r="C564" s="28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8"/>
      <c r="Q564" s="24"/>
      <c r="R564" s="28"/>
    </row>
    <row r="565" spans="3:18" x14ac:dyDescent="0.2">
      <c r="C565" s="28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8"/>
      <c r="Q565" s="24"/>
      <c r="R565" s="28"/>
    </row>
    <row r="566" spans="3:18" x14ac:dyDescent="0.2">
      <c r="C566" s="28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8"/>
      <c r="Q566" s="24"/>
      <c r="R566" s="28"/>
    </row>
    <row r="567" spans="3:18" x14ac:dyDescent="0.2">
      <c r="C567" s="28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8"/>
      <c r="Q567" s="24"/>
      <c r="R567" s="28"/>
    </row>
    <row r="568" spans="3:18" x14ac:dyDescent="0.2">
      <c r="C568" s="28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8"/>
      <c r="Q568" s="24"/>
      <c r="R568" s="28"/>
    </row>
    <row r="569" spans="3:18" x14ac:dyDescent="0.2">
      <c r="C569" s="28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8"/>
      <c r="Q569" s="24"/>
      <c r="R569" s="28"/>
    </row>
    <row r="570" spans="3:18" x14ac:dyDescent="0.2">
      <c r="C570" s="28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8"/>
      <c r="Q570" s="24"/>
      <c r="R570" s="28"/>
    </row>
    <row r="571" spans="3:18" x14ac:dyDescent="0.2">
      <c r="C571" s="28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8"/>
      <c r="Q571" s="24"/>
      <c r="R571" s="28"/>
    </row>
    <row r="572" spans="3:18" x14ac:dyDescent="0.2">
      <c r="C572" s="28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8"/>
      <c r="Q572" s="24"/>
      <c r="R572" s="28"/>
    </row>
    <row r="573" spans="3:18" x14ac:dyDescent="0.2">
      <c r="C573" s="28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8"/>
      <c r="Q573" s="24"/>
      <c r="R573" s="28"/>
    </row>
    <row r="574" spans="3:18" x14ac:dyDescent="0.2">
      <c r="C574" s="28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8"/>
      <c r="Q574" s="24"/>
      <c r="R574" s="28"/>
    </row>
    <row r="575" spans="3:18" x14ac:dyDescent="0.2">
      <c r="C575" s="28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8"/>
      <c r="Q575" s="24"/>
      <c r="R575" s="28"/>
    </row>
    <row r="576" spans="3:18" x14ac:dyDescent="0.2">
      <c r="C576" s="28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8"/>
      <c r="Q576" s="24"/>
      <c r="R576" s="28"/>
    </row>
    <row r="577" spans="3:18" x14ac:dyDescent="0.2">
      <c r="C577" s="28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8"/>
      <c r="Q577" s="24"/>
      <c r="R577" s="28"/>
    </row>
    <row r="578" spans="3:18" x14ac:dyDescent="0.2">
      <c r="C578" s="28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8"/>
      <c r="Q578" s="24"/>
      <c r="R578" s="28"/>
    </row>
    <row r="579" spans="3:18" x14ac:dyDescent="0.2">
      <c r="C579" s="28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8"/>
      <c r="Q579" s="24"/>
      <c r="R579" s="28"/>
    </row>
    <row r="580" spans="3:18" x14ac:dyDescent="0.2">
      <c r="C580" s="28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8"/>
      <c r="Q580" s="24"/>
      <c r="R580" s="28"/>
    </row>
    <row r="581" spans="3:18" x14ac:dyDescent="0.2">
      <c r="C581" s="28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8"/>
      <c r="Q581" s="24"/>
      <c r="R581" s="28"/>
    </row>
    <row r="582" spans="3:18" x14ac:dyDescent="0.2">
      <c r="C582" s="28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8"/>
      <c r="Q582" s="24"/>
      <c r="R582" s="28"/>
    </row>
    <row r="583" spans="3:18" x14ac:dyDescent="0.2">
      <c r="C583" s="28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8"/>
      <c r="Q583" s="24"/>
      <c r="R583" s="28"/>
    </row>
    <row r="584" spans="3:18" x14ac:dyDescent="0.2">
      <c r="C584" s="28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8"/>
      <c r="Q584" s="24"/>
      <c r="R584" s="28"/>
    </row>
    <row r="585" spans="3:18" x14ac:dyDescent="0.2">
      <c r="C585" s="28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8"/>
      <c r="Q585" s="24"/>
      <c r="R585" s="28"/>
    </row>
    <row r="586" spans="3:18" x14ac:dyDescent="0.2">
      <c r="C586" s="28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8"/>
      <c r="Q586" s="24"/>
      <c r="R586" s="28"/>
    </row>
    <row r="587" spans="3:18" x14ac:dyDescent="0.2">
      <c r="C587" s="28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8"/>
      <c r="Q587" s="24"/>
      <c r="R587" s="28"/>
    </row>
    <row r="588" spans="3:18" x14ac:dyDescent="0.2">
      <c r="C588" s="28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8"/>
      <c r="Q588" s="24"/>
      <c r="R588" s="28"/>
    </row>
    <row r="589" spans="3:18" x14ac:dyDescent="0.2">
      <c r="C589" s="28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8"/>
      <c r="Q589" s="24"/>
      <c r="R589" s="28"/>
    </row>
    <row r="590" spans="3:18" x14ac:dyDescent="0.2">
      <c r="C590" s="28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8"/>
      <c r="Q590" s="24"/>
      <c r="R590" s="28"/>
    </row>
    <row r="591" spans="3:18" x14ac:dyDescent="0.2">
      <c r="C591" s="28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8"/>
      <c r="Q591" s="24"/>
      <c r="R591" s="28"/>
    </row>
    <row r="592" spans="3:18" x14ac:dyDescent="0.2">
      <c r="C592" s="28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8"/>
      <c r="Q592" s="24"/>
      <c r="R592" s="28"/>
    </row>
    <row r="593" spans="3:18" x14ac:dyDescent="0.2">
      <c r="C593" s="28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8"/>
      <c r="Q593" s="24"/>
      <c r="R593" s="28"/>
    </row>
    <row r="594" spans="3:18" x14ac:dyDescent="0.2">
      <c r="C594" s="28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8"/>
      <c r="Q594" s="24"/>
      <c r="R594" s="28"/>
    </row>
    <row r="595" spans="3:18" x14ac:dyDescent="0.2">
      <c r="C595" s="28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8"/>
      <c r="Q595" s="24"/>
      <c r="R595" s="28"/>
    </row>
    <row r="596" spans="3:18" x14ac:dyDescent="0.2">
      <c r="C596" s="28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8"/>
      <c r="Q596" s="24"/>
      <c r="R596" s="28"/>
    </row>
    <row r="597" spans="3:18" x14ac:dyDescent="0.2">
      <c r="C597" s="28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8"/>
      <c r="Q597" s="24"/>
      <c r="R597" s="28"/>
    </row>
    <row r="598" spans="3:18" x14ac:dyDescent="0.2">
      <c r="C598" s="28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8"/>
      <c r="Q598" s="24"/>
      <c r="R598" s="28"/>
    </row>
    <row r="599" spans="3:18" x14ac:dyDescent="0.2">
      <c r="C599" s="28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8"/>
      <c r="Q599" s="24"/>
      <c r="R599" s="28"/>
    </row>
    <row r="600" spans="3:18" x14ac:dyDescent="0.2">
      <c r="C600" s="28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8"/>
      <c r="Q600" s="24"/>
      <c r="R600" s="28"/>
    </row>
    <row r="601" spans="3:18" x14ac:dyDescent="0.2">
      <c r="C601" s="28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8"/>
      <c r="Q601" s="24"/>
      <c r="R601" s="28"/>
    </row>
    <row r="602" spans="3:18" x14ac:dyDescent="0.2">
      <c r="C602" s="28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8"/>
      <c r="Q602" s="24"/>
      <c r="R602" s="28"/>
    </row>
    <row r="603" spans="3:18" x14ac:dyDescent="0.2">
      <c r="C603" s="28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8"/>
      <c r="Q603" s="24"/>
      <c r="R603" s="28"/>
    </row>
    <row r="604" spans="3:18" x14ac:dyDescent="0.2">
      <c r="C604" s="28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8"/>
      <c r="Q604" s="24"/>
      <c r="R604" s="28"/>
    </row>
    <row r="605" spans="3:18" x14ac:dyDescent="0.2">
      <c r="C605" s="28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8"/>
      <c r="Q605" s="24"/>
      <c r="R605" s="28"/>
    </row>
    <row r="606" spans="3:18" x14ac:dyDescent="0.2">
      <c r="C606" s="28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8"/>
      <c r="Q606" s="24"/>
      <c r="R606" s="28"/>
    </row>
    <row r="607" spans="3:18" x14ac:dyDescent="0.2">
      <c r="C607" s="28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8"/>
      <c r="Q607" s="24"/>
      <c r="R607" s="28"/>
    </row>
    <row r="608" spans="3:18" x14ac:dyDescent="0.2">
      <c r="C608" s="28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8"/>
      <c r="Q608" s="24"/>
      <c r="R608" s="28"/>
    </row>
    <row r="609" spans="3:18" x14ac:dyDescent="0.2">
      <c r="C609" s="28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8"/>
      <c r="Q609" s="24"/>
      <c r="R609" s="28"/>
    </row>
    <row r="610" spans="3:18" x14ac:dyDescent="0.2">
      <c r="C610" s="28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8"/>
      <c r="Q610" s="24"/>
      <c r="R610" s="28"/>
    </row>
    <row r="611" spans="3:18" x14ac:dyDescent="0.2">
      <c r="C611" s="28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8"/>
      <c r="Q611" s="24"/>
      <c r="R611" s="28"/>
    </row>
    <row r="612" spans="3:18" x14ac:dyDescent="0.2">
      <c r="C612" s="28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8"/>
      <c r="Q612" s="24"/>
      <c r="R612" s="28"/>
    </row>
    <row r="613" spans="3:18" x14ac:dyDescent="0.2">
      <c r="C613" s="28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8"/>
      <c r="Q613" s="24"/>
      <c r="R613" s="28"/>
    </row>
    <row r="614" spans="3:18" x14ac:dyDescent="0.2">
      <c r="C614" s="28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8"/>
      <c r="Q614" s="24"/>
      <c r="R614" s="28"/>
    </row>
    <row r="615" spans="3:18" x14ac:dyDescent="0.2">
      <c r="C615" s="28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8"/>
      <c r="Q615" s="24"/>
      <c r="R615" s="28"/>
    </row>
    <row r="616" spans="3:18" x14ac:dyDescent="0.2">
      <c r="C616" s="28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8"/>
      <c r="Q616" s="24"/>
      <c r="R616" s="28"/>
    </row>
    <row r="617" spans="3:18" x14ac:dyDescent="0.2">
      <c r="C617" s="28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8"/>
      <c r="Q617" s="24"/>
      <c r="R617" s="28"/>
    </row>
    <row r="618" spans="3:18" x14ac:dyDescent="0.2">
      <c r="C618" s="28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8"/>
      <c r="Q618" s="24"/>
      <c r="R618" s="28"/>
    </row>
    <row r="619" spans="3:18" x14ac:dyDescent="0.2">
      <c r="C619" s="28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8"/>
      <c r="Q619" s="24"/>
      <c r="R619" s="28"/>
    </row>
    <row r="620" spans="3:18" x14ac:dyDescent="0.2">
      <c r="C620" s="28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8"/>
      <c r="Q620" s="24"/>
      <c r="R620" s="28"/>
    </row>
    <row r="621" spans="3:18" x14ac:dyDescent="0.2">
      <c r="C621" s="28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8"/>
      <c r="Q621" s="24"/>
      <c r="R621" s="28"/>
    </row>
    <row r="622" spans="3:18" x14ac:dyDescent="0.2">
      <c r="C622" s="28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8"/>
      <c r="Q622" s="24"/>
      <c r="R622" s="28"/>
    </row>
    <row r="623" spans="3:18" x14ac:dyDescent="0.2">
      <c r="C623" s="28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8"/>
      <c r="Q623" s="24"/>
      <c r="R623" s="28"/>
    </row>
    <row r="624" spans="3:18" x14ac:dyDescent="0.2">
      <c r="C624" s="28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8"/>
      <c r="Q624" s="24"/>
      <c r="R624" s="28"/>
    </row>
    <row r="625" spans="3:18" x14ac:dyDescent="0.2">
      <c r="C625" s="28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8"/>
      <c r="Q625" s="24"/>
      <c r="R625" s="28"/>
    </row>
    <row r="626" spans="3:18" x14ac:dyDescent="0.2">
      <c r="C626" s="28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8"/>
      <c r="Q626" s="24"/>
      <c r="R626" s="28"/>
    </row>
    <row r="627" spans="3:18" x14ac:dyDescent="0.2">
      <c r="C627" s="28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8"/>
      <c r="Q627" s="24"/>
      <c r="R627" s="28"/>
    </row>
    <row r="628" spans="3:18" x14ac:dyDescent="0.2">
      <c r="C628" s="28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8"/>
      <c r="Q628" s="24"/>
      <c r="R628" s="28"/>
    </row>
    <row r="629" spans="3:18" x14ac:dyDescent="0.2">
      <c r="C629" s="28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8"/>
      <c r="Q629" s="24"/>
      <c r="R629" s="28"/>
    </row>
    <row r="630" spans="3:18" x14ac:dyDescent="0.2">
      <c r="C630" s="28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8"/>
      <c r="Q630" s="24"/>
      <c r="R630" s="28"/>
    </row>
    <row r="631" spans="3:18" x14ac:dyDescent="0.2">
      <c r="C631" s="28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8"/>
      <c r="Q631" s="24"/>
      <c r="R631" s="28"/>
    </row>
    <row r="632" spans="3:18" x14ac:dyDescent="0.2">
      <c r="C632" s="28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8"/>
      <c r="Q632" s="24"/>
      <c r="R632" s="28"/>
    </row>
    <row r="633" spans="3:18" x14ac:dyDescent="0.2">
      <c r="C633" s="28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8"/>
      <c r="Q633" s="24"/>
      <c r="R633" s="28"/>
    </row>
    <row r="634" spans="3:18" x14ac:dyDescent="0.2">
      <c r="C634" s="28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8"/>
      <c r="Q634" s="24"/>
      <c r="R634" s="28"/>
    </row>
    <row r="635" spans="3:18" x14ac:dyDescent="0.2">
      <c r="C635" s="28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8"/>
      <c r="Q635" s="24"/>
      <c r="R635" s="28"/>
    </row>
    <row r="636" spans="3:18" x14ac:dyDescent="0.2">
      <c r="C636" s="28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8"/>
      <c r="Q636" s="24"/>
      <c r="R636" s="28"/>
    </row>
    <row r="637" spans="3:18" x14ac:dyDescent="0.2">
      <c r="C637" s="28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8"/>
      <c r="Q637" s="24"/>
      <c r="R637" s="28"/>
    </row>
    <row r="638" spans="3:18" x14ac:dyDescent="0.2">
      <c r="C638" s="28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8"/>
      <c r="Q638" s="24"/>
      <c r="R638" s="28"/>
    </row>
    <row r="639" spans="3:18" x14ac:dyDescent="0.2">
      <c r="C639" s="28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8"/>
      <c r="Q639" s="24"/>
      <c r="R639" s="28"/>
    </row>
    <row r="640" spans="3:18" x14ac:dyDescent="0.2">
      <c r="C640" s="28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8"/>
      <c r="Q640" s="24"/>
      <c r="R640" s="28"/>
    </row>
    <row r="641" spans="3:18" x14ac:dyDescent="0.2">
      <c r="C641" s="28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8"/>
      <c r="Q641" s="24"/>
      <c r="R641" s="28"/>
    </row>
    <row r="642" spans="3:18" x14ac:dyDescent="0.2">
      <c r="C642" s="28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8"/>
      <c r="Q642" s="24"/>
      <c r="R642" s="28"/>
    </row>
    <row r="643" spans="3:18" x14ac:dyDescent="0.2">
      <c r="C643" s="28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8"/>
      <c r="Q643" s="24"/>
      <c r="R643" s="28"/>
    </row>
    <row r="644" spans="3:18" x14ac:dyDescent="0.2">
      <c r="C644" s="28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8"/>
      <c r="Q644" s="24"/>
      <c r="R644" s="28"/>
    </row>
    <row r="645" spans="3:18" x14ac:dyDescent="0.2">
      <c r="C645" s="28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8"/>
      <c r="Q645" s="24"/>
      <c r="R645" s="28"/>
    </row>
    <row r="646" spans="3:18" x14ac:dyDescent="0.2">
      <c r="C646" s="28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8"/>
      <c r="Q646" s="24"/>
      <c r="R646" s="28"/>
    </row>
    <row r="647" spans="3:18" x14ac:dyDescent="0.2">
      <c r="C647" s="28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8"/>
      <c r="Q647" s="24"/>
      <c r="R647" s="28"/>
    </row>
    <row r="648" spans="3:18" x14ac:dyDescent="0.2">
      <c r="C648" s="28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8"/>
      <c r="Q648" s="24"/>
      <c r="R648" s="28"/>
    </row>
    <row r="649" spans="3:18" x14ac:dyDescent="0.2">
      <c r="C649" s="28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8"/>
      <c r="Q649" s="24"/>
      <c r="R649" s="28"/>
    </row>
    <row r="650" spans="3:18" x14ac:dyDescent="0.2">
      <c r="C650" s="28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8"/>
      <c r="Q650" s="24"/>
      <c r="R650" s="28"/>
    </row>
    <row r="651" spans="3:18" x14ac:dyDescent="0.2">
      <c r="C651" s="28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8"/>
      <c r="Q651" s="24"/>
      <c r="R651" s="28"/>
    </row>
    <row r="652" spans="3:18" x14ac:dyDescent="0.2">
      <c r="C652" s="28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8"/>
      <c r="Q652" s="24"/>
      <c r="R652" s="28"/>
    </row>
    <row r="653" spans="3:18" x14ac:dyDescent="0.2">
      <c r="C653" s="28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8"/>
      <c r="Q653" s="24"/>
      <c r="R653" s="28"/>
    </row>
    <row r="654" spans="3:18" x14ac:dyDescent="0.2">
      <c r="C654" s="28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8"/>
      <c r="Q654" s="24"/>
      <c r="R654" s="28"/>
    </row>
    <row r="655" spans="3:18" x14ac:dyDescent="0.2">
      <c r="C655" s="28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8"/>
      <c r="Q655" s="24"/>
      <c r="R655" s="28"/>
    </row>
    <row r="656" spans="3:18" x14ac:dyDescent="0.2">
      <c r="C656" s="28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8"/>
      <c r="Q656" s="24"/>
      <c r="R656" s="28"/>
    </row>
    <row r="657" spans="3:18" x14ac:dyDescent="0.2">
      <c r="C657" s="28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8"/>
      <c r="Q657" s="24"/>
      <c r="R657" s="28"/>
    </row>
    <row r="658" spans="3:18" x14ac:dyDescent="0.2">
      <c r="C658" s="28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8"/>
      <c r="Q658" s="24"/>
      <c r="R658" s="28"/>
    </row>
    <row r="659" spans="3:18" x14ac:dyDescent="0.2">
      <c r="C659" s="28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8"/>
      <c r="Q659" s="24"/>
      <c r="R659" s="28"/>
    </row>
    <row r="660" spans="3:18" x14ac:dyDescent="0.2">
      <c r="C660" s="28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8"/>
      <c r="Q660" s="24"/>
      <c r="R660" s="28"/>
    </row>
    <row r="661" spans="3:18" x14ac:dyDescent="0.2">
      <c r="C661" s="28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8"/>
      <c r="Q661" s="24"/>
      <c r="R661" s="28"/>
    </row>
    <row r="662" spans="3:18" x14ac:dyDescent="0.2">
      <c r="C662" s="28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8"/>
      <c r="Q662" s="24"/>
      <c r="R662" s="28"/>
    </row>
    <row r="663" spans="3:18" x14ac:dyDescent="0.2">
      <c r="C663" s="28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8"/>
      <c r="Q663" s="24"/>
      <c r="R663" s="28"/>
    </row>
    <row r="664" spans="3:18" x14ac:dyDescent="0.2">
      <c r="C664" s="28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8"/>
      <c r="Q664" s="24"/>
      <c r="R664" s="28"/>
    </row>
    <row r="665" spans="3:18" x14ac:dyDescent="0.2">
      <c r="C665" s="28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8"/>
      <c r="Q665" s="24"/>
      <c r="R665" s="28"/>
    </row>
    <row r="666" spans="3:18" x14ac:dyDescent="0.2">
      <c r="C666" s="28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8"/>
      <c r="Q666" s="24"/>
      <c r="R666" s="28"/>
    </row>
    <row r="667" spans="3:18" x14ac:dyDescent="0.2">
      <c r="C667" s="28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8"/>
      <c r="Q667" s="24"/>
      <c r="R667" s="28"/>
    </row>
    <row r="668" spans="3:18" x14ac:dyDescent="0.2">
      <c r="C668" s="28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8"/>
      <c r="Q668" s="24"/>
      <c r="R668" s="28"/>
    </row>
    <row r="669" spans="3:18" x14ac:dyDescent="0.2">
      <c r="C669" s="28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8"/>
      <c r="Q669" s="24"/>
      <c r="R669" s="28"/>
    </row>
    <row r="670" spans="3:18" x14ac:dyDescent="0.2">
      <c r="C670" s="28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8"/>
      <c r="Q670" s="24"/>
      <c r="R670" s="28"/>
    </row>
    <row r="671" spans="3:18" x14ac:dyDescent="0.2">
      <c r="C671" s="28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8"/>
      <c r="Q671" s="24"/>
      <c r="R671" s="28"/>
    </row>
    <row r="672" spans="3:18" x14ac:dyDescent="0.2">
      <c r="C672" s="28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8"/>
      <c r="Q672" s="24"/>
      <c r="R672" s="28"/>
    </row>
    <row r="673" spans="3:18" x14ac:dyDescent="0.2">
      <c r="C673" s="28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8"/>
      <c r="Q673" s="24"/>
      <c r="R673" s="28"/>
    </row>
    <row r="674" spans="3:18" x14ac:dyDescent="0.2">
      <c r="C674" s="28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8"/>
      <c r="Q674" s="24"/>
      <c r="R674" s="28"/>
    </row>
    <row r="675" spans="3:18" x14ac:dyDescent="0.2">
      <c r="C675" s="28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8"/>
      <c r="Q675" s="24"/>
      <c r="R675" s="28"/>
    </row>
    <row r="676" spans="3:18" x14ac:dyDescent="0.2">
      <c r="C676" s="28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8"/>
      <c r="Q676" s="24"/>
      <c r="R676" s="28"/>
    </row>
    <row r="677" spans="3:18" x14ac:dyDescent="0.2">
      <c r="C677" s="28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8"/>
      <c r="Q677" s="24"/>
      <c r="R677" s="28"/>
    </row>
    <row r="678" spans="3:18" x14ac:dyDescent="0.2">
      <c r="C678" s="28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8"/>
      <c r="Q678" s="24"/>
      <c r="R678" s="28"/>
    </row>
    <row r="679" spans="3:18" x14ac:dyDescent="0.2">
      <c r="C679" s="28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8"/>
      <c r="Q679" s="24"/>
      <c r="R679" s="28"/>
    </row>
    <row r="680" spans="3:18" x14ac:dyDescent="0.2">
      <c r="C680" s="28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8"/>
      <c r="Q680" s="24"/>
      <c r="R680" s="28"/>
    </row>
    <row r="681" spans="3:18" x14ac:dyDescent="0.2">
      <c r="C681" s="28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8"/>
      <c r="Q681" s="24"/>
      <c r="R681" s="28"/>
    </row>
    <row r="682" spans="3:18" x14ac:dyDescent="0.2">
      <c r="C682" s="28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8"/>
      <c r="Q682" s="24"/>
      <c r="R682" s="28"/>
    </row>
    <row r="683" spans="3:18" x14ac:dyDescent="0.2">
      <c r="C683" s="28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8"/>
      <c r="Q683" s="24"/>
      <c r="R683" s="28"/>
    </row>
    <row r="684" spans="3:18" x14ac:dyDescent="0.2">
      <c r="C684" s="28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8"/>
      <c r="Q684" s="24"/>
      <c r="R684" s="28"/>
    </row>
    <row r="685" spans="3:18" x14ac:dyDescent="0.2">
      <c r="C685" s="28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8"/>
      <c r="Q685" s="24"/>
      <c r="R685" s="28"/>
    </row>
    <row r="686" spans="3:18" x14ac:dyDescent="0.2">
      <c r="C686" s="28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8"/>
      <c r="Q686" s="24"/>
      <c r="R686" s="28"/>
    </row>
    <row r="687" spans="3:18" x14ac:dyDescent="0.2">
      <c r="C687" s="28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8"/>
      <c r="Q687" s="24"/>
      <c r="R687" s="28"/>
    </row>
    <row r="688" spans="3:18" x14ac:dyDescent="0.2">
      <c r="C688" s="28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8"/>
      <c r="Q688" s="24"/>
      <c r="R688" s="28"/>
    </row>
    <row r="689" spans="3:18" x14ac:dyDescent="0.2">
      <c r="C689" s="28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8"/>
      <c r="Q689" s="24"/>
      <c r="R689" s="28"/>
    </row>
    <row r="690" spans="3:18" x14ac:dyDescent="0.2">
      <c r="C690" s="28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8"/>
      <c r="Q690" s="24"/>
      <c r="R690" s="28"/>
    </row>
    <row r="691" spans="3:18" x14ac:dyDescent="0.2">
      <c r="C691" s="28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8"/>
      <c r="Q691" s="24"/>
      <c r="R691" s="28"/>
    </row>
    <row r="692" spans="3:18" x14ac:dyDescent="0.2">
      <c r="C692" s="28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8"/>
      <c r="Q692" s="24"/>
      <c r="R692" s="28"/>
    </row>
    <row r="693" spans="3:18" x14ac:dyDescent="0.2">
      <c r="C693" s="28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8"/>
      <c r="Q693" s="24"/>
      <c r="R693" s="28"/>
    </row>
    <row r="694" spans="3:18" x14ac:dyDescent="0.2">
      <c r="C694" s="28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8"/>
      <c r="Q694" s="24"/>
      <c r="R694" s="28"/>
    </row>
    <row r="695" spans="3:18" x14ac:dyDescent="0.2">
      <c r="C695" s="28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8"/>
      <c r="Q695" s="24"/>
      <c r="R695" s="28"/>
    </row>
    <row r="696" spans="3:18" x14ac:dyDescent="0.2">
      <c r="C696" s="28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8"/>
      <c r="Q696" s="24"/>
      <c r="R696" s="28"/>
    </row>
    <row r="697" spans="3:18" x14ac:dyDescent="0.2">
      <c r="C697" s="28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8"/>
      <c r="Q697" s="24"/>
      <c r="R697" s="28"/>
    </row>
    <row r="698" spans="3:18" x14ac:dyDescent="0.2">
      <c r="C698" s="28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8"/>
      <c r="Q698" s="24"/>
      <c r="R698" s="28"/>
    </row>
    <row r="699" spans="3:18" x14ac:dyDescent="0.2">
      <c r="C699" s="28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8"/>
      <c r="Q699" s="24"/>
      <c r="R699" s="28"/>
    </row>
    <row r="700" spans="3:18" x14ac:dyDescent="0.2">
      <c r="C700" s="28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8"/>
      <c r="Q700" s="24"/>
      <c r="R700" s="28"/>
    </row>
    <row r="701" spans="3:18" x14ac:dyDescent="0.2">
      <c r="C701" s="28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8"/>
      <c r="Q701" s="24"/>
      <c r="R701" s="28"/>
    </row>
    <row r="702" spans="3:18" x14ac:dyDescent="0.2">
      <c r="C702" s="28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8"/>
      <c r="Q702" s="24"/>
      <c r="R702" s="28"/>
    </row>
    <row r="703" spans="3:18" x14ac:dyDescent="0.2">
      <c r="C703" s="28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8"/>
      <c r="Q703" s="24"/>
      <c r="R703" s="28"/>
    </row>
    <row r="704" spans="3:18" x14ac:dyDescent="0.2">
      <c r="C704" s="28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8"/>
      <c r="Q704" s="24"/>
      <c r="R704" s="28"/>
    </row>
    <row r="705" spans="3:18" x14ac:dyDescent="0.2">
      <c r="C705" s="28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8"/>
      <c r="Q705" s="24"/>
      <c r="R705" s="28"/>
    </row>
    <row r="706" spans="3:18" x14ac:dyDescent="0.2">
      <c r="C706" s="28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8"/>
      <c r="Q706" s="24"/>
      <c r="R706" s="28"/>
    </row>
    <row r="707" spans="3:18" x14ac:dyDescent="0.2">
      <c r="C707" s="28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8"/>
      <c r="Q707" s="24"/>
      <c r="R707" s="28"/>
    </row>
    <row r="708" spans="3:18" x14ac:dyDescent="0.2">
      <c r="C708" s="28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8"/>
      <c r="Q708" s="24"/>
      <c r="R708" s="28"/>
    </row>
    <row r="709" spans="3:18" x14ac:dyDescent="0.2">
      <c r="C709" s="28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8"/>
      <c r="Q709" s="24"/>
      <c r="R709" s="28"/>
    </row>
    <row r="710" spans="3:18" x14ac:dyDescent="0.2">
      <c r="C710" s="28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8"/>
      <c r="Q710" s="24"/>
      <c r="R710" s="28"/>
    </row>
    <row r="711" spans="3:18" x14ac:dyDescent="0.2">
      <c r="C711" s="28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8"/>
      <c r="Q711" s="24"/>
      <c r="R711" s="28"/>
    </row>
    <row r="712" spans="3:18" x14ac:dyDescent="0.2">
      <c r="C712" s="28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8"/>
      <c r="Q712" s="24"/>
      <c r="R712" s="28"/>
    </row>
    <row r="713" spans="3:18" x14ac:dyDescent="0.2">
      <c r="C713" s="28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8"/>
      <c r="Q713" s="24"/>
      <c r="R713" s="28"/>
    </row>
    <row r="714" spans="3:18" x14ac:dyDescent="0.2">
      <c r="C714" s="28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8"/>
      <c r="Q714" s="24"/>
      <c r="R714" s="28"/>
    </row>
    <row r="715" spans="3:18" x14ac:dyDescent="0.2">
      <c r="C715" s="28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8"/>
      <c r="Q715" s="24"/>
      <c r="R715" s="28"/>
    </row>
    <row r="716" spans="3:18" x14ac:dyDescent="0.2">
      <c r="C716" s="28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8"/>
      <c r="Q716" s="24"/>
      <c r="R716" s="28"/>
    </row>
    <row r="717" spans="3:18" x14ac:dyDescent="0.2">
      <c r="C717" s="28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8"/>
      <c r="Q717" s="24"/>
      <c r="R717" s="28"/>
    </row>
    <row r="718" spans="3:18" x14ac:dyDescent="0.2">
      <c r="C718" s="28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8"/>
      <c r="Q718" s="24"/>
      <c r="R718" s="28"/>
    </row>
    <row r="719" spans="3:18" x14ac:dyDescent="0.2">
      <c r="C719" s="28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8"/>
      <c r="Q719" s="24"/>
      <c r="R719" s="28"/>
    </row>
    <row r="720" spans="3:18" x14ac:dyDescent="0.2">
      <c r="C720" s="28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8"/>
      <c r="Q720" s="24"/>
      <c r="R720" s="28"/>
    </row>
    <row r="721" spans="3:18" x14ac:dyDescent="0.2">
      <c r="C721" s="28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8"/>
      <c r="Q721" s="24"/>
      <c r="R721" s="28"/>
    </row>
    <row r="722" spans="3:18" x14ac:dyDescent="0.2">
      <c r="C722" s="28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8"/>
      <c r="Q722" s="24"/>
      <c r="R722" s="28"/>
    </row>
    <row r="723" spans="3:18" x14ac:dyDescent="0.2">
      <c r="C723" s="28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8"/>
      <c r="Q723" s="24"/>
      <c r="R723" s="28"/>
    </row>
    <row r="724" spans="3:18" x14ac:dyDescent="0.2">
      <c r="C724" s="28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8"/>
      <c r="Q724" s="24"/>
      <c r="R724" s="28"/>
    </row>
    <row r="725" spans="3:18" x14ac:dyDescent="0.2">
      <c r="C725" s="28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8"/>
      <c r="Q725" s="24"/>
      <c r="R725" s="28"/>
    </row>
    <row r="726" spans="3:18" x14ac:dyDescent="0.2">
      <c r="C726" s="28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8"/>
      <c r="Q726" s="24"/>
      <c r="R726" s="28"/>
    </row>
    <row r="727" spans="3:18" x14ac:dyDescent="0.2">
      <c r="C727" s="28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8"/>
      <c r="Q727" s="24"/>
      <c r="R727" s="28"/>
    </row>
    <row r="728" spans="3:18" x14ac:dyDescent="0.2">
      <c r="C728" s="28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8"/>
      <c r="Q728" s="24"/>
      <c r="R728" s="28"/>
    </row>
    <row r="729" spans="3:18" x14ac:dyDescent="0.2">
      <c r="C729" s="28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8"/>
      <c r="Q729" s="24"/>
      <c r="R729" s="28"/>
    </row>
    <row r="730" spans="3:18" x14ac:dyDescent="0.2">
      <c r="C730" s="28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8"/>
      <c r="Q730" s="24"/>
      <c r="R730" s="28"/>
    </row>
    <row r="731" spans="3:18" x14ac:dyDescent="0.2">
      <c r="C731" s="28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8"/>
      <c r="Q731" s="24"/>
      <c r="R731" s="28"/>
    </row>
    <row r="732" spans="3:18" x14ac:dyDescent="0.2">
      <c r="C732" s="28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8"/>
      <c r="Q732" s="24"/>
      <c r="R732" s="28"/>
    </row>
    <row r="733" spans="3:18" x14ac:dyDescent="0.2">
      <c r="C733" s="28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8"/>
      <c r="Q733" s="24"/>
      <c r="R733" s="28"/>
    </row>
    <row r="734" spans="3:18" x14ac:dyDescent="0.2">
      <c r="C734" s="28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8"/>
      <c r="Q734" s="24"/>
      <c r="R734" s="28"/>
    </row>
    <row r="735" spans="3:18" x14ac:dyDescent="0.2">
      <c r="C735" s="28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8"/>
      <c r="Q735" s="24"/>
      <c r="R735" s="28"/>
    </row>
    <row r="736" spans="3:18" x14ac:dyDescent="0.2">
      <c r="C736" s="28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8"/>
      <c r="Q736" s="24"/>
      <c r="R736" s="28"/>
    </row>
    <row r="737" spans="3:18" x14ac:dyDescent="0.2">
      <c r="C737" s="28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8"/>
      <c r="Q737" s="24"/>
      <c r="R737" s="28"/>
    </row>
    <row r="738" spans="3:18" x14ac:dyDescent="0.2">
      <c r="C738" s="28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8"/>
      <c r="Q738" s="24"/>
      <c r="R738" s="28"/>
    </row>
    <row r="739" spans="3:18" x14ac:dyDescent="0.2">
      <c r="C739" s="28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8"/>
      <c r="Q739" s="24"/>
      <c r="R739" s="28"/>
    </row>
    <row r="740" spans="3:18" x14ac:dyDescent="0.2">
      <c r="C740" s="28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8"/>
      <c r="Q740" s="24"/>
      <c r="R740" s="28"/>
    </row>
    <row r="741" spans="3:18" x14ac:dyDescent="0.2">
      <c r="C741" s="28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8"/>
      <c r="Q741" s="24"/>
      <c r="R741" s="28"/>
    </row>
    <row r="742" spans="3:18" x14ac:dyDescent="0.2">
      <c r="C742" s="28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8"/>
      <c r="Q742" s="24"/>
      <c r="R742" s="28"/>
    </row>
    <row r="743" spans="3:18" x14ac:dyDescent="0.2">
      <c r="C743" s="28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8"/>
      <c r="Q743" s="24"/>
      <c r="R743" s="28"/>
    </row>
    <row r="744" spans="3:18" x14ac:dyDescent="0.2">
      <c r="C744" s="28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8"/>
      <c r="Q744" s="24"/>
      <c r="R744" s="28"/>
    </row>
    <row r="745" spans="3:18" x14ac:dyDescent="0.2">
      <c r="C745" s="28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8"/>
      <c r="Q745" s="24"/>
      <c r="R745" s="28"/>
    </row>
    <row r="746" spans="3:18" x14ac:dyDescent="0.2">
      <c r="C746" s="28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8"/>
      <c r="Q746" s="24"/>
      <c r="R746" s="28"/>
    </row>
    <row r="747" spans="3:18" x14ac:dyDescent="0.2">
      <c r="C747" s="28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8"/>
      <c r="Q747" s="24"/>
      <c r="R747" s="28"/>
    </row>
    <row r="748" spans="3:18" x14ac:dyDescent="0.2">
      <c r="C748" s="28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8"/>
      <c r="Q748" s="24"/>
      <c r="R748" s="28"/>
    </row>
    <row r="749" spans="3:18" x14ac:dyDescent="0.2">
      <c r="C749" s="28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8"/>
      <c r="Q749" s="24"/>
      <c r="R749" s="28"/>
    </row>
    <row r="750" spans="3:18" x14ac:dyDescent="0.2">
      <c r="C750" s="28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8"/>
      <c r="Q750" s="24"/>
      <c r="R750" s="28"/>
    </row>
    <row r="751" spans="3:18" x14ac:dyDescent="0.2">
      <c r="C751" s="28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8"/>
      <c r="Q751" s="24"/>
      <c r="R751" s="28"/>
    </row>
    <row r="752" spans="3:18" x14ac:dyDescent="0.2">
      <c r="C752" s="28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8"/>
      <c r="Q752" s="24"/>
      <c r="R752" s="28"/>
    </row>
    <row r="753" spans="3:18" x14ac:dyDescent="0.2">
      <c r="C753" s="28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8"/>
      <c r="Q753" s="24"/>
      <c r="R753" s="28"/>
    </row>
    <row r="754" spans="3:18" x14ac:dyDescent="0.2">
      <c r="C754" s="28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8"/>
      <c r="Q754" s="24"/>
      <c r="R754" s="28"/>
    </row>
    <row r="755" spans="3:18" x14ac:dyDescent="0.2">
      <c r="C755" s="28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8"/>
      <c r="Q755" s="24"/>
      <c r="R755" s="28"/>
    </row>
    <row r="756" spans="3:18" x14ac:dyDescent="0.2">
      <c r="C756" s="28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8"/>
      <c r="Q756" s="24"/>
      <c r="R756" s="28"/>
    </row>
    <row r="757" spans="3:18" x14ac:dyDescent="0.2">
      <c r="C757" s="28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8"/>
      <c r="Q757" s="24"/>
      <c r="R757" s="28"/>
    </row>
    <row r="758" spans="3:18" x14ac:dyDescent="0.2">
      <c r="C758" s="28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8"/>
      <c r="Q758" s="24"/>
      <c r="R758" s="28"/>
    </row>
    <row r="759" spans="3:18" x14ac:dyDescent="0.2">
      <c r="C759" s="28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8"/>
      <c r="Q759" s="24"/>
      <c r="R759" s="28"/>
    </row>
    <row r="760" spans="3:18" x14ac:dyDescent="0.2">
      <c r="C760" s="28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8"/>
      <c r="Q760" s="24"/>
      <c r="R760" s="28"/>
    </row>
    <row r="761" spans="3:18" x14ac:dyDescent="0.2">
      <c r="C761" s="28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8"/>
      <c r="Q761" s="24"/>
      <c r="R761" s="28"/>
    </row>
    <row r="762" spans="3:18" x14ac:dyDescent="0.2">
      <c r="C762" s="28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8"/>
      <c r="Q762" s="24"/>
      <c r="R762" s="28"/>
    </row>
    <row r="763" spans="3:18" x14ac:dyDescent="0.2">
      <c r="C763" s="28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8"/>
      <c r="Q763" s="24"/>
      <c r="R763" s="28"/>
    </row>
    <row r="764" spans="3:18" x14ac:dyDescent="0.2">
      <c r="C764" s="28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8"/>
      <c r="Q764" s="24"/>
      <c r="R764" s="28"/>
    </row>
    <row r="765" spans="3:18" x14ac:dyDescent="0.2">
      <c r="C765" s="28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8"/>
      <c r="Q765" s="24"/>
      <c r="R765" s="28"/>
    </row>
    <row r="766" spans="3:18" x14ac:dyDescent="0.2">
      <c r="C766" s="28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8"/>
      <c r="Q766" s="24"/>
      <c r="R766" s="28"/>
    </row>
    <row r="767" spans="3:18" x14ac:dyDescent="0.2">
      <c r="C767" s="28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8"/>
      <c r="Q767" s="24"/>
      <c r="R767" s="28"/>
    </row>
    <row r="768" spans="3:18" x14ac:dyDescent="0.2">
      <c r="C768" s="28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8"/>
      <c r="Q768" s="24"/>
      <c r="R768" s="28"/>
    </row>
    <row r="769" spans="3:18" x14ac:dyDescent="0.2">
      <c r="C769" s="28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8"/>
      <c r="Q769" s="24"/>
      <c r="R769" s="28"/>
    </row>
    <row r="770" spans="3:18" x14ac:dyDescent="0.2">
      <c r="C770" s="28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8"/>
      <c r="Q770" s="24"/>
      <c r="R770" s="28"/>
    </row>
    <row r="771" spans="3:18" x14ac:dyDescent="0.2">
      <c r="C771" s="28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8"/>
      <c r="Q771" s="24"/>
      <c r="R771" s="28"/>
    </row>
    <row r="772" spans="3:18" x14ac:dyDescent="0.2">
      <c r="C772" s="28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8"/>
      <c r="Q772" s="24"/>
      <c r="R772" s="28"/>
    </row>
    <row r="773" spans="3:18" x14ac:dyDescent="0.2">
      <c r="C773" s="28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8"/>
      <c r="Q773" s="24"/>
      <c r="R773" s="28"/>
    </row>
    <row r="774" spans="3:18" x14ac:dyDescent="0.2">
      <c r="C774" s="28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8"/>
      <c r="Q774" s="24"/>
      <c r="R774" s="28"/>
    </row>
    <row r="775" spans="3:18" x14ac:dyDescent="0.2">
      <c r="C775" s="28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8"/>
      <c r="Q775" s="24"/>
      <c r="R775" s="28"/>
    </row>
    <row r="776" spans="3:18" x14ac:dyDescent="0.2">
      <c r="C776" s="28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8"/>
      <c r="Q776" s="24"/>
      <c r="R776" s="28"/>
    </row>
    <row r="777" spans="3:18" x14ac:dyDescent="0.2">
      <c r="C777" s="28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8"/>
      <c r="Q777" s="24"/>
      <c r="R777" s="28"/>
    </row>
    <row r="778" spans="3:18" x14ac:dyDescent="0.2">
      <c r="C778" s="28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8"/>
      <c r="Q778" s="24"/>
      <c r="R778" s="28"/>
    </row>
    <row r="779" spans="3:18" x14ac:dyDescent="0.2">
      <c r="C779" s="28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8"/>
      <c r="Q779" s="24"/>
      <c r="R779" s="28"/>
    </row>
    <row r="780" spans="3:18" x14ac:dyDescent="0.2">
      <c r="C780" s="28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8"/>
      <c r="Q780" s="24"/>
      <c r="R780" s="28"/>
    </row>
    <row r="781" spans="3:18" x14ac:dyDescent="0.2">
      <c r="C781" s="28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8"/>
      <c r="Q781" s="24"/>
      <c r="R781" s="28"/>
    </row>
    <row r="782" spans="3:18" x14ac:dyDescent="0.2">
      <c r="C782" s="28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8"/>
      <c r="Q782" s="24"/>
      <c r="R782" s="28"/>
    </row>
    <row r="783" spans="3:18" x14ac:dyDescent="0.2">
      <c r="C783" s="28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8"/>
      <c r="Q783" s="24"/>
      <c r="R783" s="28"/>
    </row>
    <row r="784" spans="3:18" x14ac:dyDescent="0.2">
      <c r="C784" s="28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8"/>
      <c r="Q784" s="24"/>
      <c r="R784" s="28"/>
    </row>
    <row r="785" spans="3:18" x14ac:dyDescent="0.2">
      <c r="C785" s="28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8"/>
      <c r="Q785" s="24"/>
      <c r="R785" s="28"/>
    </row>
    <row r="786" spans="3:18" x14ac:dyDescent="0.2">
      <c r="C786" s="28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8"/>
      <c r="Q786" s="24"/>
      <c r="R786" s="28"/>
    </row>
    <row r="787" spans="3:18" x14ac:dyDescent="0.2">
      <c r="C787" s="28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8"/>
      <c r="Q787" s="24"/>
      <c r="R787" s="28"/>
    </row>
    <row r="788" spans="3:18" x14ac:dyDescent="0.2">
      <c r="C788" s="28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8"/>
      <c r="Q788" s="24"/>
      <c r="R788" s="28"/>
    </row>
    <row r="789" spans="3:18" x14ac:dyDescent="0.2">
      <c r="C789" s="28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8"/>
      <c r="Q789" s="24"/>
      <c r="R789" s="28"/>
    </row>
    <row r="790" spans="3:18" x14ac:dyDescent="0.2">
      <c r="C790" s="28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8"/>
      <c r="Q790" s="24"/>
      <c r="R790" s="28"/>
    </row>
    <row r="791" spans="3:18" x14ac:dyDescent="0.2">
      <c r="C791" s="28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8"/>
      <c r="Q791" s="24"/>
      <c r="R791" s="28"/>
    </row>
    <row r="792" spans="3:18" x14ac:dyDescent="0.2">
      <c r="C792" s="28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8"/>
      <c r="Q792" s="24"/>
      <c r="R792" s="28"/>
    </row>
    <row r="793" spans="3:18" x14ac:dyDescent="0.2">
      <c r="C793" s="28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8"/>
      <c r="Q793" s="24"/>
      <c r="R793" s="28"/>
    </row>
    <row r="794" spans="3:18" x14ac:dyDescent="0.2">
      <c r="C794" s="28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8"/>
      <c r="Q794" s="24"/>
      <c r="R794" s="28"/>
    </row>
    <row r="795" spans="3:18" x14ac:dyDescent="0.2">
      <c r="C795" s="28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8"/>
      <c r="Q795" s="24"/>
      <c r="R795" s="28"/>
    </row>
    <row r="796" spans="3:18" x14ac:dyDescent="0.2">
      <c r="C796" s="28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8"/>
      <c r="Q796" s="24"/>
      <c r="R796" s="28"/>
    </row>
    <row r="797" spans="3:18" x14ac:dyDescent="0.2">
      <c r="C797" s="28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8"/>
      <c r="Q797" s="24"/>
      <c r="R797" s="28"/>
    </row>
    <row r="798" spans="3:18" x14ac:dyDescent="0.2">
      <c r="C798" s="28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8"/>
      <c r="Q798" s="24"/>
      <c r="R798" s="28"/>
    </row>
    <row r="799" spans="3:18" x14ac:dyDescent="0.2">
      <c r="C799" s="28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8"/>
      <c r="Q799" s="24"/>
      <c r="R799" s="28"/>
    </row>
    <row r="800" spans="3:18" x14ac:dyDescent="0.2">
      <c r="C800" s="28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8"/>
      <c r="Q800" s="24"/>
      <c r="R800" s="28"/>
    </row>
    <row r="801" spans="3:18" x14ac:dyDescent="0.2">
      <c r="C801" s="28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8"/>
      <c r="Q801" s="24"/>
      <c r="R801" s="28"/>
    </row>
    <row r="802" spans="3:18" x14ac:dyDescent="0.2">
      <c r="C802" s="28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8"/>
      <c r="Q802" s="24"/>
      <c r="R802" s="28"/>
    </row>
    <row r="803" spans="3:18" x14ac:dyDescent="0.2">
      <c r="C803" s="28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8"/>
      <c r="Q803" s="24"/>
      <c r="R803" s="28"/>
    </row>
    <row r="804" spans="3:18" x14ac:dyDescent="0.2">
      <c r="C804" s="28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8"/>
      <c r="Q804" s="24"/>
      <c r="R804" s="28"/>
    </row>
    <row r="805" spans="3:18" x14ac:dyDescent="0.2">
      <c r="C805" s="28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8"/>
      <c r="Q805" s="24"/>
      <c r="R805" s="28"/>
    </row>
    <row r="806" spans="3:18" x14ac:dyDescent="0.2">
      <c r="C806" s="28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8"/>
      <c r="Q806" s="24"/>
      <c r="R806" s="28"/>
    </row>
    <row r="807" spans="3:18" x14ac:dyDescent="0.2">
      <c r="C807" s="28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8"/>
      <c r="Q807" s="24"/>
      <c r="R807" s="28"/>
    </row>
    <row r="808" spans="3:18" x14ac:dyDescent="0.2">
      <c r="C808" s="28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8"/>
      <c r="Q808" s="24"/>
      <c r="R808" s="28"/>
    </row>
    <row r="809" spans="3:18" x14ac:dyDescent="0.2">
      <c r="C809" s="28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8"/>
      <c r="Q809" s="24"/>
      <c r="R809" s="28"/>
    </row>
    <row r="810" spans="3:18" x14ac:dyDescent="0.2">
      <c r="C810" s="28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8"/>
      <c r="Q810" s="24"/>
      <c r="R810" s="28"/>
    </row>
    <row r="811" spans="3:18" x14ac:dyDescent="0.2">
      <c r="C811" s="28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8"/>
      <c r="Q811" s="24"/>
      <c r="R811" s="28"/>
    </row>
    <row r="812" spans="3:18" x14ac:dyDescent="0.2">
      <c r="C812" s="28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8"/>
      <c r="Q812" s="24"/>
      <c r="R812" s="28"/>
    </row>
    <row r="813" spans="3:18" x14ac:dyDescent="0.2">
      <c r="C813" s="28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8"/>
      <c r="Q813" s="24"/>
      <c r="R813" s="28"/>
    </row>
    <row r="814" spans="3:18" x14ac:dyDescent="0.2">
      <c r="C814" s="28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8"/>
      <c r="Q814" s="24"/>
      <c r="R814" s="28"/>
    </row>
    <row r="815" spans="3:18" x14ac:dyDescent="0.2">
      <c r="C815" s="28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8"/>
      <c r="Q815" s="24"/>
      <c r="R815" s="28"/>
    </row>
    <row r="816" spans="3:18" x14ac:dyDescent="0.2">
      <c r="C816" s="28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8"/>
      <c r="Q816" s="24"/>
      <c r="R816" s="28"/>
    </row>
    <row r="817" spans="3:18" x14ac:dyDescent="0.2">
      <c r="C817" s="28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8"/>
      <c r="Q817" s="24"/>
      <c r="R817" s="28"/>
    </row>
    <row r="818" spans="3:18" x14ac:dyDescent="0.2">
      <c r="C818" s="28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8"/>
      <c r="Q818" s="24"/>
      <c r="R818" s="28"/>
    </row>
    <row r="819" spans="3:18" x14ac:dyDescent="0.2">
      <c r="C819" s="28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8"/>
      <c r="Q819" s="24"/>
      <c r="R819" s="28"/>
    </row>
    <row r="820" spans="3:18" x14ac:dyDescent="0.2">
      <c r="C820" s="28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8"/>
      <c r="Q820" s="24"/>
      <c r="R820" s="28"/>
    </row>
    <row r="821" spans="3:18" x14ac:dyDescent="0.2">
      <c r="C821" s="28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8"/>
      <c r="Q821" s="24"/>
      <c r="R821" s="28"/>
    </row>
    <row r="822" spans="3:18" x14ac:dyDescent="0.2">
      <c r="C822" s="28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8"/>
      <c r="Q822" s="24"/>
      <c r="R822" s="28"/>
    </row>
    <row r="823" spans="3:18" x14ac:dyDescent="0.2">
      <c r="C823" s="28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8"/>
      <c r="Q823" s="24"/>
      <c r="R823" s="28"/>
    </row>
    <row r="824" spans="3:18" x14ac:dyDescent="0.2">
      <c r="C824" s="28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8"/>
      <c r="Q824" s="24"/>
      <c r="R824" s="28"/>
    </row>
    <row r="825" spans="3:18" x14ac:dyDescent="0.2">
      <c r="C825" s="28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8"/>
      <c r="Q825" s="24"/>
      <c r="R825" s="28"/>
    </row>
    <row r="826" spans="3:18" x14ac:dyDescent="0.2">
      <c r="C826" s="28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8"/>
      <c r="Q826" s="24"/>
      <c r="R826" s="28"/>
    </row>
    <row r="827" spans="3:18" x14ac:dyDescent="0.2">
      <c r="C827" s="28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8"/>
      <c r="Q827" s="24"/>
      <c r="R827" s="28"/>
    </row>
    <row r="828" spans="3:18" x14ac:dyDescent="0.2">
      <c r="C828" s="28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8"/>
      <c r="Q828" s="24"/>
      <c r="R828" s="28"/>
    </row>
    <row r="829" spans="3:18" x14ac:dyDescent="0.2">
      <c r="C829" s="28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8"/>
      <c r="Q829" s="24"/>
      <c r="R829" s="28"/>
    </row>
    <row r="830" spans="3:18" x14ac:dyDescent="0.2">
      <c r="C830" s="28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8"/>
      <c r="Q830" s="24"/>
      <c r="R830" s="28"/>
    </row>
    <row r="831" spans="3:18" x14ac:dyDescent="0.2">
      <c r="C831" s="28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8"/>
      <c r="Q831" s="24"/>
      <c r="R831" s="28"/>
    </row>
    <row r="832" spans="3:18" x14ac:dyDescent="0.2">
      <c r="C832" s="28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8"/>
      <c r="Q832" s="24"/>
      <c r="R832" s="28"/>
    </row>
    <row r="833" spans="3:18" x14ac:dyDescent="0.2">
      <c r="C833" s="28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8"/>
      <c r="Q833" s="24"/>
      <c r="R833" s="28"/>
    </row>
    <row r="834" spans="3:18" x14ac:dyDescent="0.2">
      <c r="C834" s="28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8"/>
      <c r="Q834" s="24"/>
      <c r="R834" s="28"/>
    </row>
    <row r="835" spans="3:18" x14ac:dyDescent="0.2">
      <c r="C835" s="28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8"/>
      <c r="Q835" s="24"/>
      <c r="R835" s="28"/>
    </row>
    <row r="836" spans="3:18" x14ac:dyDescent="0.2">
      <c r="C836" s="28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8"/>
      <c r="Q836" s="24"/>
      <c r="R836" s="28"/>
    </row>
    <row r="837" spans="3:18" x14ac:dyDescent="0.2">
      <c r="C837" s="28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8"/>
      <c r="Q837" s="24"/>
      <c r="R837" s="28"/>
    </row>
    <row r="838" spans="3:18" x14ac:dyDescent="0.2">
      <c r="C838" s="28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8"/>
      <c r="Q838" s="24"/>
      <c r="R838" s="28"/>
    </row>
    <row r="839" spans="3:18" x14ac:dyDescent="0.2">
      <c r="C839" s="28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8"/>
      <c r="Q839" s="24"/>
      <c r="R839" s="28"/>
    </row>
    <row r="840" spans="3:18" x14ac:dyDescent="0.2">
      <c r="C840" s="28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8"/>
      <c r="Q840" s="24"/>
      <c r="R840" s="28"/>
    </row>
    <row r="841" spans="3:18" x14ac:dyDescent="0.2">
      <c r="C841" s="28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8"/>
      <c r="Q841" s="24"/>
      <c r="R841" s="28"/>
    </row>
    <row r="842" spans="3:18" x14ac:dyDescent="0.2">
      <c r="C842" s="28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8"/>
      <c r="Q842" s="24"/>
      <c r="R842" s="28"/>
    </row>
    <row r="843" spans="3:18" x14ac:dyDescent="0.2">
      <c r="C843" s="28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8"/>
      <c r="Q843" s="24"/>
      <c r="R843" s="28"/>
    </row>
    <row r="844" spans="3:18" x14ac:dyDescent="0.2">
      <c r="C844" s="28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8"/>
      <c r="Q844" s="24"/>
      <c r="R844" s="28"/>
    </row>
    <row r="845" spans="3:18" x14ac:dyDescent="0.2">
      <c r="C845" s="28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8"/>
      <c r="Q845" s="24"/>
      <c r="R845" s="28"/>
    </row>
    <row r="846" spans="3:18" x14ac:dyDescent="0.2">
      <c r="C846" s="28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8"/>
      <c r="Q846" s="24"/>
      <c r="R846" s="28"/>
    </row>
    <row r="847" spans="3:18" x14ac:dyDescent="0.2">
      <c r="C847" s="28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8"/>
      <c r="Q847" s="24"/>
      <c r="R847" s="28"/>
    </row>
    <row r="848" spans="3:18" x14ac:dyDescent="0.2">
      <c r="C848" s="28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8"/>
      <c r="Q848" s="24"/>
      <c r="R848" s="28"/>
    </row>
    <row r="849" spans="3:18" x14ac:dyDescent="0.2">
      <c r="C849" s="28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8"/>
      <c r="Q849" s="24"/>
      <c r="R849" s="28"/>
    </row>
    <row r="850" spans="3:18" x14ac:dyDescent="0.2">
      <c r="C850" s="28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8"/>
      <c r="Q850" s="24"/>
      <c r="R850" s="28"/>
    </row>
    <row r="851" spans="3:18" x14ac:dyDescent="0.2">
      <c r="C851" s="28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8"/>
      <c r="Q851" s="24"/>
      <c r="R851" s="28"/>
    </row>
    <row r="852" spans="3:18" x14ac:dyDescent="0.2">
      <c r="C852" s="28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8"/>
      <c r="Q852" s="24"/>
      <c r="R852" s="28"/>
    </row>
    <row r="853" spans="3:18" x14ac:dyDescent="0.2">
      <c r="C853" s="28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8"/>
      <c r="Q853" s="24"/>
      <c r="R853" s="28"/>
    </row>
    <row r="854" spans="3:18" x14ac:dyDescent="0.2">
      <c r="C854" s="28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8"/>
      <c r="Q854" s="24"/>
      <c r="R854" s="28"/>
    </row>
    <row r="855" spans="3:18" x14ac:dyDescent="0.2">
      <c r="C855" s="28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8"/>
      <c r="Q855" s="24"/>
      <c r="R855" s="28"/>
    </row>
    <row r="856" spans="3:18" x14ac:dyDescent="0.2">
      <c r="C856" s="28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8"/>
      <c r="Q856" s="24"/>
      <c r="R856" s="28"/>
    </row>
    <row r="857" spans="3:18" x14ac:dyDescent="0.2">
      <c r="C857" s="28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8"/>
      <c r="Q857" s="24"/>
      <c r="R857" s="28"/>
    </row>
    <row r="858" spans="3:18" x14ac:dyDescent="0.2">
      <c r="C858" s="28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8"/>
      <c r="Q858" s="24"/>
      <c r="R858" s="28"/>
    </row>
    <row r="859" spans="3:18" x14ac:dyDescent="0.2">
      <c r="C859" s="28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8"/>
      <c r="Q859" s="24"/>
      <c r="R859" s="28"/>
    </row>
    <row r="860" spans="3:18" x14ac:dyDescent="0.2">
      <c r="C860" s="28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8"/>
      <c r="Q860" s="24"/>
      <c r="R860" s="28"/>
    </row>
    <row r="861" spans="3:18" x14ac:dyDescent="0.2">
      <c r="C861" s="28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8"/>
      <c r="Q861" s="24"/>
      <c r="R861" s="28"/>
    </row>
    <row r="862" spans="3:18" x14ac:dyDescent="0.2">
      <c r="C862" s="28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8"/>
      <c r="Q862" s="24"/>
      <c r="R862" s="28"/>
    </row>
    <row r="863" spans="3:18" x14ac:dyDescent="0.2">
      <c r="C863" s="28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8"/>
      <c r="Q863" s="24"/>
      <c r="R863" s="28"/>
    </row>
    <row r="864" spans="3:18" x14ac:dyDescent="0.2">
      <c r="C864" s="28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8"/>
      <c r="Q864" s="24"/>
      <c r="R864" s="28"/>
    </row>
    <row r="865" spans="3:18" x14ac:dyDescent="0.2">
      <c r="C865" s="28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8"/>
      <c r="Q865" s="24"/>
      <c r="R865" s="28"/>
    </row>
    <row r="866" spans="3:18" x14ac:dyDescent="0.2">
      <c r="C866" s="28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8"/>
      <c r="Q866" s="24"/>
      <c r="R866" s="28"/>
    </row>
    <row r="867" spans="3:18" x14ac:dyDescent="0.2">
      <c r="C867" s="28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8"/>
      <c r="Q867" s="24"/>
      <c r="R867" s="28"/>
    </row>
    <row r="868" spans="3:18" x14ac:dyDescent="0.2">
      <c r="C868" s="28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8"/>
      <c r="Q868" s="24"/>
      <c r="R868" s="28"/>
    </row>
    <row r="869" spans="3:18" x14ac:dyDescent="0.2">
      <c r="C869" s="28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8"/>
      <c r="Q869" s="24"/>
      <c r="R869" s="28"/>
    </row>
    <row r="870" spans="3:18" x14ac:dyDescent="0.2">
      <c r="C870" s="28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8"/>
      <c r="Q870" s="24"/>
      <c r="R870" s="28"/>
    </row>
    <row r="871" spans="3:18" x14ac:dyDescent="0.2">
      <c r="C871" s="28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8"/>
      <c r="Q871" s="24"/>
      <c r="R871" s="28"/>
    </row>
    <row r="872" spans="3:18" x14ac:dyDescent="0.2">
      <c r="C872" s="28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8"/>
      <c r="Q872" s="24"/>
      <c r="R872" s="28"/>
    </row>
    <row r="873" spans="3:18" x14ac:dyDescent="0.2">
      <c r="C873" s="28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8"/>
      <c r="Q873" s="24"/>
      <c r="R873" s="28"/>
    </row>
    <row r="874" spans="3:18" x14ac:dyDescent="0.2">
      <c r="C874" s="28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8"/>
      <c r="Q874" s="24"/>
      <c r="R874" s="28"/>
    </row>
    <row r="875" spans="3:18" x14ac:dyDescent="0.2">
      <c r="C875" s="28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8"/>
      <c r="Q875" s="24"/>
      <c r="R875" s="28"/>
    </row>
    <row r="876" spans="3:18" x14ac:dyDescent="0.2">
      <c r="C876" s="28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8"/>
      <c r="Q876" s="24"/>
      <c r="R876" s="28"/>
    </row>
    <row r="877" spans="3:18" x14ac:dyDescent="0.2">
      <c r="C877" s="28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8"/>
      <c r="Q877" s="24"/>
      <c r="R877" s="28"/>
    </row>
    <row r="878" spans="3:18" x14ac:dyDescent="0.2">
      <c r="C878" s="28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8"/>
      <c r="Q878" s="24"/>
      <c r="R878" s="28"/>
    </row>
    <row r="879" spans="3:18" x14ac:dyDescent="0.2">
      <c r="C879" s="28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8"/>
      <c r="Q879" s="24"/>
      <c r="R879" s="28"/>
    </row>
    <row r="880" spans="3:18" x14ac:dyDescent="0.2">
      <c r="C880" s="28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8"/>
      <c r="Q880" s="24"/>
      <c r="R880" s="28"/>
    </row>
    <row r="881" spans="3:18" x14ac:dyDescent="0.2">
      <c r="C881" s="28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8"/>
      <c r="Q881" s="24"/>
      <c r="R881" s="28"/>
    </row>
    <row r="882" spans="3:18" x14ac:dyDescent="0.2">
      <c r="C882" s="28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8"/>
      <c r="Q882" s="24"/>
      <c r="R882" s="28"/>
    </row>
    <row r="883" spans="3:18" x14ac:dyDescent="0.2">
      <c r="C883" s="28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8"/>
      <c r="Q883" s="24"/>
      <c r="R883" s="28"/>
    </row>
    <row r="884" spans="3:18" x14ac:dyDescent="0.2">
      <c r="C884" s="28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8"/>
      <c r="Q884" s="24"/>
      <c r="R884" s="28"/>
    </row>
    <row r="885" spans="3:18" x14ac:dyDescent="0.2">
      <c r="C885" s="28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8"/>
      <c r="Q885" s="24"/>
      <c r="R885" s="28"/>
    </row>
    <row r="886" spans="3:18" x14ac:dyDescent="0.2">
      <c r="C886" s="28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8"/>
      <c r="Q886" s="24"/>
      <c r="R886" s="28"/>
    </row>
    <row r="887" spans="3:18" x14ac:dyDescent="0.2">
      <c r="C887" s="28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8"/>
      <c r="Q887" s="24"/>
      <c r="R887" s="28"/>
    </row>
    <row r="888" spans="3:18" x14ac:dyDescent="0.2">
      <c r="C888" s="28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8"/>
      <c r="Q888" s="24"/>
      <c r="R888" s="28"/>
    </row>
    <row r="889" spans="3:18" x14ac:dyDescent="0.2">
      <c r="C889" s="28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8"/>
      <c r="Q889" s="24"/>
      <c r="R889" s="28"/>
    </row>
    <row r="890" spans="3:18" x14ac:dyDescent="0.2">
      <c r="C890" s="28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8"/>
      <c r="Q890" s="24"/>
      <c r="R890" s="28"/>
    </row>
    <row r="891" spans="3:18" x14ac:dyDescent="0.2">
      <c r="C891" s="28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8"/>
      <c r="Q891" s="24"/>
      <c r="R891" s="28"/>
    </row>
    <row r="892" spans="3:18" x14ac:dyDescent="0.2">
      <c r="C892" s="28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8"/>
      <c r="Q892" s="24"/>
      <c r="R892" s="28"/>
    </row>
    <row r="893" spans="3:18" x14ac:dyDescent="0.2">
      <c r="C893" s="28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8"/>
      <c r="Q893" s="24"/>
      <c r="R893" s="28"/>
    </row>
    <row r="894" spans="3:18" x14ac:dyDescent="0.2">
      <c r="C894" s="28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8"/>
      <c r="Q894" s="24"/>
      <c r="R894" s="28"/>
    </row>
    <row r="895" spans="3:18" x14ac:dyDescent="0.2">
      <c r="C895" s="28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8"/>
      <c r="Q895" s="24"/>
      <c r="R895" s="28"/>
    </row>
    <row r="896" spans="3:18" x14ac:dyDescent="0.2">
      <c r="C896" s="28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8"/>
      <c r="Q896" s="24"/>
      <c r="R896" s="28"/>
    </row>
    <row r="897" spans="3:18" x14ac:dyDescent="0.2">
      <c r="C897" s="28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8"/>
      <c r="Q897" s="24"/>
      <c r="R897" s="28"/>
    </row>
    <row r="898" spans="3:18" x14ac:dyDescent="0.2">
      <c r="C898" s="28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8"/>
      <c r="Q898" s="24"/>
      <c r="R898" s="28"/>
    </row>
    <row r="899" spans="3:18" x14ac:dyDescent="0.2">
      <c r="C899" s="28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8"/>
      <c r="Q899" s="24"/>
      <c r="R899" s="28"/>
    </row>
    <row r="900" spans="3:18" x14ac:dyDescent="0.2">
      <c r="C900" s="28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8"/>
      <c r="Q900" s="24"/>
      <c r="R900" s="28"/>
    </row>
    <row r="901" spans="3:18" x14ac:dyDescent="0.2">
      <c r="C901" s="28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8"/>
      <c r="Q901" s="24"/>
      <c r="R901" s="28"/>
    </row>
    <row r="902" spans="3:18" x14ac:dyDescent="0.2">
      <c r="C902" s="28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8"/>
      <c r="Q902" s="24"/>
      <c r="R902" s="28"/>
    </row>
    <row r="903" spans="3:18" x14ac:dyDescent="0.2">
      <c r="C903" s="28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8"/>
      <c r="Q903" s="24"/>
      <c r="R903" s="28"/>
    </row>
    <row r="904" spans="3:18" x14ac:dyDescent="0.2">
      <c r="C904" s="28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8"/>
      <c r="Q904" s="24"/>
      <c r="R904" s="28"/>
    </row>
    <row r="905" spans="3:18" x14ac:dyDescent="0.2">
      <c r="C905" s="28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8"/>
      <c r="Q905" s="24"/>
      <c r="R905" s="28"/>
    </row>
    <row r="906" spans="3:18" x14ac:dyDescent="0.2">
      <c r="C906" s="28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8"/>
      <c r="Q906" s="24"/>
      <c r="R906" s="28"/>
    </row>
    <row r="907" spans="3:18" x14ac:dyDescent="0.2">
      <c r="C907" s="28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8"/>
      <c r="Q907" s="24"/>
      <c r="R907" s="28"/>
    </row>
    <row r="908" spans="3:18" x14ac:dyDescent="0.2">
      <c r="C908" s="28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8"/>
      <c r="Q908" s="24"/>
      <c r="R908" s="28"/>
    </row>
    <row r="909" spans="3:18" x14ac:dyDescent="0.2">
      <c r="C909" s="28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8"/>
      <c r="Q909" s="24"/>
      <c r="R909" s="28"/>
    </row>
    <row r="910" spans="3:18" x14ac:dyDescent="0.2">
      <c r="C910" s="28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8"/>
      <c r="Q910" s="24"/>
      <c r="R910" s="28"/>
    </row>
    <row r="911" spans="3:18" x14ac:dyDescent="0.2">
      <c r="C911" s="28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8"/>
      <c r="Q911" s="24"/>
      <c r="R911" s="28"/>
    </row>
    <row r="912" spans="3:18" x14ac:dyDescent="0.2">
      <c r="C912" s="28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8"/>
      <c r="Q912" s="24"/>
      <c r="R912" s="28"/>
    </row>
    <row r="913" spans="3:18" x14ac:dyDescent="0.2">
      <c r="C913" s="28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8"/>
      <c r="Q913" s="24"/>
      <c r="R913" s="28"/>
    </row>
    <row r="914" spans="3:18" x14ac:dyDescent="0.2">
      <c r="C914" s="28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8"/>
      <c r="Q914" s="24"/>
      <c r="R914" s="28"/>
    </row>
    <row r="915" spans="3:18" x14ac:dyDescent="0.2">
      <c r="C915" s="28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8"/>
      <c r="Q915" s="24"/>
      <c r="R915" s="28"/>
    </row>
    <row r="916" spans="3:18" x14ac:dyDescent="0.2">
      <c r="C916" s="28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8"/>
      <c r="Q916" s="24"/>
      <c r="R916" s="28"/>
    </row>
    <row r="917" spans="3:18" x14ac:dyDescent="0.2">
      <c r="C917" s="28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8"/>
      <c r="Q917" s="24"/>
      <c r="R917" s="28"/>
    </row>
    <row r="918" spans="3:18" x14ac:dyDescent="0.2">
      <c r="C918" s="28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8"/>
      <c r="Q918" s="24"/>
      <c r="R918" s="28"/>
    </row>
    <row r="919" spans="3:18" x14ac:dyDescent="0.2">
      <c r="C919" s="28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8"/>
      <c r="Q919" s="24"/>
      <c r="R919" s="28"/>
    </row>
    <row r="920" spans="3:18" x14ac:dyDescent="0.2">
      <c r="C920" s="28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8"/>
      <c r="Q920" s="24"/>
      <c r="R920" s="28"/>
    </row>
    <row r="921" spans="3:18" x14ac:dyDescent="0.2">
      <c r="C921" s="28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8"/>
      <c r="Q921" s="24"/>
      <c r="R921" s="28"/>
    </row>
    <row r="922" spans="3:18" x14ac:dyDescent="0.2">
      <c r="C922" s="28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8"/>
      <c r="Q922" s="24"/>
      <c r="R922" s="28"/>
    </row>
    <row r="923" spans="3:18" x14ac:dyDescent="0.2">
      <c r="C923" s="28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8"/>
      <c r="Q923" s="24"/>
      <c r="R923" s="28"/>
    </row>
    <row r="924" spans="3:18" x14ac:dyDescent="0.2">
      <c r="C924" s="28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8"/>
      <c r="Q924" s="24"/>
      <c r="R924" s="28"/>
    </row>
    <row r="925" spans="3:18" x14ac:dyDescent="0.2">
      <c r="C925" s="28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8"/>
      <c r="Q925" s="24"/>
      <c r="R925" s="28"/>
    </row>
    <row r="926" spans="3:18" x14ac:dyDescent="0.2">
      <c r="C926" s="28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8"/>
      <c r="Q926" s="24"/>
      <c r="R926" s="28"/>
    </row>
    <row r="927" spans="3:18" x14ac:dyDescent="0.2">
      <c r="C927" s="28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8"/>
      <c r="Q927" s="24"/>
      <c r="R927" s="28"/>
    </row>
    <row r="928" spans="3:18" x14ac:dyDescent="0.2">
      <c r="C928" s="28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8"/>
      <c r="Q928" s="24"/>
      <c r="R928" s="28"/>
    </row>
    <row r="929" spans="3:18" x14ac:dyDescent="0.2">
      <c r="C929" s="28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8"/>
      <c r="Q929" s="24"/>
      <c r="R929" s="28"/>
    </row>
    <row r="930" spans="3:18" x14ac:dyDescent="0.2">
      <c r="C930" s="28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8"/>
      <c r="Q930" s="24"/>
      <c r="R930" s="28"/>
    </row>
    <row r="931" spans="3:18" x14ac:dyDescent="0.2">
      <c r="C931" s="28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8"/>
      <c r="Q931" s="24"/>
      <c r="R931" s="28"/>
    </row>
    <row r="932" spans="3:18" x14ac:dyDescent="0.2">
      <c r="C932" s="28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8"/>
      <c r="Q932" s="24"/>
      <c r="R932" s="28"/>
    </row>
    <row r="933" spans="3:18" x14ac:dyDescent="0.2">
      <c r="C933" s="28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8"/>
      <c r="Q933" s="24"/>
      <c r="R933" s="28"/>
    </row>
    <row r="934" spans="3:18" x14ac:dyDescent="0.2">
      <c r="C934" s="28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8"/>
      <c r="Q934" s="24"/>
      <c r="R934" s="28"/>
    </row>
    <row r="935" spans="3:18" x14ac:dyDescent="0.2">
      <c r="C935" s="28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8"/>
      <c r="Q935" s="24"/>
      <c r="R935" s="28"/>
    </row>
    <row r="936" spans="3:18" x14ac:dyDescent="0.2">
      <c r="C936" s="28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8"/>
      <c r="Q936" s="24"/>
      <c r="R936" s="28"/>
    </row>
    <row r="937" spans="3:18" x14ac:dyDescent="0.2">
      <c r="C937" s="28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8"/>
      <c r="Q937" s="24"/>
      <c r="R937" s="28"/>
    </row>
    <row r="938" spans="3:18" x14ac:dyDescent="0.2">
      <c r="C938" s="28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8"/>
      <c r="Q938" s="24"/>
      <c r="R938" s="28"/>
    </row>
    <row r="939" spans="3:18" x14ac:dyDescent="0.2">
      <c r="C939" s="28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8"/>
      <c r="Q939" s="24"/>
      <c r="R939" s="28"/>
    </row>
    <row r="940" spans="3:18" x14ac:dyDescent="0.2">
      <c r="C940" s="28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8"/>
      <c r="Q940" s="24"/>
      <c r="R940" s="28"/>
    </row>
    <row r="941" spans="3:18" x14ac:dyDescent="0.2">
      <c r="C941" s="28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8"/>
      <c r="Q941" s="24"/>
      <c r="R941" s="28"/>
    </row>
    <row r="942" spans="3:18" x14ac:dyDescent="0.2">
      <c r="C942" s="28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8"/>
      <c r="Q942" s="24"/>
      <c r="R942" s="28"/>
    </row>
    <row r="943" spans="3:18" x14ac:dyDescent="0.2">
      <c r="C943" s="28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8"/>
      <c r="Q943" s="24"/>
      <c r="R943" s="28"/>
    </row>
    <row r="944" spans="3:18" x14ac:dyDescent="0.2">
      <c r="C944" s="28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8"/>
      <c r="Q944" s="24"/>
      <c r="R944" s="28"/>
    </row>
    <row r="945" spans="3:18" x14ac:dyDescent="0.2">
      <c r="C945" s="28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8"/>
      <c r="Q945" s="24"/>
      <c r="R945" s="28"/>
    </row>
    <row r="946" spans="3:18" x14ac:dyDescent="0.2">
      <c r="C946" s="28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8"/>
      <c r="Q946" s="24"/>
      <c r="R946" s="28"/>
    </row>
    <row r="947" spans="3:18" x14ac:dyDescent="0.2">
      <c r="C947" s="28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8"/>
      <c r="Q947" s="24"/>
      <c r="R947" s="28"/>
    </row>
    <row r="948" spans="3:18" x14ac:dyDescent="0.2">
      <c r="C948" s="28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8"/>
      <c r="Q948" s="24"/>
      <c r="R948" s="28"/>
    </row>
    <row r="949" spans="3:18" x14ac:dyDescent="0.2">
      <c r="C949" s="28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8"/>
      <c r="Q949" s="24"/>
      <c r="R949" s="28"/>
    </row>
    <row r="950" spans="3:18" x14ac:dyDescent="0.2">
      <c r="C950" s="28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8"/>
      <c r="Q950" s="24"/>
      <c r="R950" s="28"/>
    </row>
    <row r="951" spans="3:18" x14ac:dyDescent="0.2">
      <c r="C951" s="28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8"/>
      <c r="Q951" s="24"/>
      <c r="R951" s="28"/>
    </row>
    <row r="952" spans="3:18" x14ac:dyDescent="0.2">
      <c r="C952" s="28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8"/>
      <c r="Q952" s="24"/>
      <c r="R952" s="28"/>
    </row>
    <row r="953" spans="3:18" x14ac:dyDescent="0.2">
      <c r="C953" s="28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8"/>
      <c r="Q953" s="24"/>
      <c r="R953" s="28"/>
    </row>
    <row r="954" spans="3:18" x14ac:dyDescent="0.2">
      <c r="C954" s="28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8"/>
      <c r="Q954" s="24"/>
      <c r="R954" s="28"/>
    </row>
    <row r="955" spans="3:18" x14ac:dyDescent="0.2">
      <c r="C955" s="28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8"/>
      <c r="Q955" s="24"/>
      <c r="R955" s="28"/>
    </row>
    <row r="956" spans="3:18" x14ac:dyDescent="0.2">
      <c r="C956" s="28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8"/>
      <c r="Q956" s="24"/>
      <c r="R956" s="28"/>
    </row>
    <row r="957" spans="3:18" x14ac:dyDescent="0.2">
      <c r="C957" s="28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8"/>
      <c r="Q957" s="24"/>
      <c r="R957" s="28"/>
    </row>
    <row r="958" spans="3:18" x14ac:dyDescent="0.2">
      <c r="C958" s="28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8"/>
      <c r="Q958" s="24"/>
      <c r="R958" s="28"/>
    </row>
    <row r="959" spans="3:18" x14ac:dyDescent="0.2">
      <c r="C959" s="28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8"/>
      <c r="Q959" s="24"/>
      <c r="R959" s="28"/>
    </row>
    <row r="960" spans="3:18" x14ac:dyDescent="0.2">
      <c r="C960" s="28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8"/>
      <c r="Q960" s="24"/>
      <c r="R960" s="28"/>
    </row>
    <row r="961" spans="3:18" x14ac:dyDescent="0.2">
      <c r="C961" s="28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8"/>
      <c r="Q961" s="24"/>
      <c r="R961" s="28"/>
    </row>
    <row r="962" spans="3:18" x14ac:dyDescent="0.2">
      <c r="C962" s="28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8"/>
      <c r="Q962" s="24"/>
      <c r="R962" s="28"/>
    </row>
    <row r="963" spans="3:18" x14ac:dyDescent="0.2">
      <c r="C963" s="28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8"/>
      <c r="Q963" s="24"/>
      <c r="R963" s="28"/>
    </row>
    <row r="964" spans="3:18" x14ac:dyDescent="0.2">
      <c r="C964" s="28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8"/>
      <c r="Q964" s="24"/>
      <c r="R964" s="28"/>
    </row>
    <row r="965" spans="3:18" x14ac:dyDescent="0.2">
      <c r="C965" s="28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8"/>
      <c r="Q965" s="24"/>
      <c r="R965" s="28"/>
    </row>
    <row r="966" spans="3:18" x14ac:dyDescent="0.2">
      <c r="C966" s="28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8"/>
      <c r="Q966" s="24"/>
      <c r="R966" s="28"/>
    </row>
    <row r="967" spans="3:18" x14ac:dyDescent="0.2">
      <c r="C967" s="28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8"/>
      <c r="Q967" s="24"/>
      <c r="R967" s="28"/>
    </row>
    <row r="968" spans="3:18" x14ac:dyDescent="0.2">
      <c r="C968" s="28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8"/>
      <c r="Q968" s="24"/>
      <c r="R968" s="28"/>
    </row>
    <row r="969" spans="3:18" x14ac:dyDescent="0.2">
      <c r="C969" s="28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8"/>
      <c r="Q969" s="24"/>
      <c r="R969" s="28"/>
    </row>
    <row r="970" spans="3:18" x14ac:dyDescent="0.2">
      <c r="C970" s="28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8"/>
      <c r="Q970" s="24"/>
      <c r="R970" s="28"/>
    </row>
    <row r="971" spans="3:18" x14ac:dyDescent="0.2">
      <c r="C971" s="28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8"/>
      <c r="Q971" s="24"/>
      <c r="R971" s="28"/>
    </row>
    <row r="972" spans="3:18" x14ac:dyDescent="0.2">
      <c r="C972" s="28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8"/>
      <c r="Q972" s="24"/>
      <c r="R972" s="28"/>
    </row>
    <row r="973" spans="3:18" x14ac:dyDescent="0.2">
      <c r="C973" s="28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8"/>
      <c r="Q973" s="24"/>
      <c r="R973" s="28"/>
    </row>
    <row r="974" spans="3:18" x14ac:dyDescent="0.2">
      <c r="C974" s="28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8"/>
      <c r="Q974" s="24"/>
      <c r="R974" s="28"/>
    </row>
    <row r="975" spans="3:18" x14ac:dyDescent="0.2">
      <c r="C975" s="28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8"/>
      <c r="Q975" s="24"/>
      <c r="R975" s="28"/>
    </row>
    <row r="976" spans="3:18" x14ac:dyDescent="0.2">
      <c r="C976" s="28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8"/>
      <c r="Q976" s="24"/>
      <c r="R976" s="28"/>
    </row>
    <row r="977" spans="3:18" x14ac:dyDescent="0.2">
      <c r="C977" s="28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8"/>
      <c r="Q977" s="24"/>
      <c r="R977" s="28"/>
    </row>
    <row r="978" spans="3:18" x14ac:dyDescent="0.2">
      <c r="C978" s="28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8"/>
      <c r="Q978" s="24"/>
      <c r="R978" s="28"/>
    </row>
    <row r="979" spans="3:18" x14ac:dyDescent="0.2">
      <c r="C979" s="28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8"/>
      <c r="Q979" s="24"/>
      <c r="R979" s="28"/>
    </row>
    <row r="980" spans="3:18" x14ac:dyDescent="0.2">
      <c r="C980" s="28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8"/>
      <c r="Q980" s="24"/>
      <c r="R980" s="28"/>
    </row>
    <row r="981" spans="3:18" x14ac:dyDescent="0.2">
      <c r="C981" s="28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8"/>
      <c r="Q981" s="24"/>
      <c r="R981" s="28"/>
    </row>
    <row r="982" spans="3:18" x14ac:dyDescent="0.2">
      <c r="C982" s="28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8"/>
      <c r="Q982" s="24"/>
      <c r="R982" s="28"/>
    </row>
    <row r="983" spans="3:18" x14ac:dyDescent="0.2">
      <c r="C983" s="28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8"/>
      <c r="Q983" s="24"/>
      <c r="R983" s="28"/>
    </row>
    <row r="984" spans="3:18" x14ac:dyDescent="0.2">
      <c r="C984" s="28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8"/>
      <c r="Q984" s="24"/>
      <c r="R984" s="28"/>
    </row>
    <row r="985" spans="3:18" x14ac:dyDescent="0.2">
      <c r="C985" s="28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8"/>
      <c r="Q985" s="24"/>
      <c r="R985" s="28"/>
    </row>
    <row r="986" spans="3:18" x14ac:dyDescent="0.2">
      <c r="C986" s="28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8"/>
      <c r="Q986" s="24"/>
      <c r="R986" s="28"/>
    </row>
    <row r="987" spans="3:18" x14ac:dyDescent="0.2">
      <c r="C987" s="28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8"/>
      <c r="Q987" s="24"/>
      <c r="R987" s="28"/>
    </row>
    <row r="988" spans="3:18" x14ac:dyDescent="0.2">
      <c r="C988" s="28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8"/>
      <c r="Q988" s="24"/>
      <c r="R988" s="28"/>
    </row>
    <row r="989" spans="3:18" x14ac:dyDescent="0.2">
      <c r="C989" s="28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8"/>
      <c r="Q989" s="24"/>
      <c r="R989" s="28"/>
    </row>
    <row r="990" spans="3:18" x14ac:dyDescent="0.2">
      <c r="C990" s="28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8"/>
      <c r="Q990" s="24"/>
      <c r="R990" s="28"/>
    </row>
    <row r="991" spans="3:18" x14ac:dyDescent="0.2">
      <c r="C991" s="28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8"/>
      <c r="Q991" s="24"/>
      <c r="R991" s="28"/>
    </row>
    <row r="992" spans="3:18" x14ac:dyDescent="0.2">
      <c r="C992" s="28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8"/>
      <c r="Q992" s="24"/>
      <c r="R992" s="28"/>
    </row>
    <row r="993" spans="3:18" x14ac:dyDescent="0.2">
      <c r="C993" s="28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8"/>
      <c r="Q993" s="24"/>
      <c r="R993" s="28"/>
    </row>
    <row r="994" spans="3:18" x14ac:dyDescent="0.2">
      <c r="C994" s="28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8"/>
      <c r="Q994" s="24"/>
      <c r="R994" s="28"/>
    </row>
    <row r="995" spans="3:18" x14ac:dyDescent="0.2">
      <c r="C995" s="28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8"/>
      <c r="Q995" s="24"/>
      <c r="R995" s="28"/>
    </row>
    <row r="996" spans="3:18" x14ac:dyDescent="0.2">
      <c r="C996" s="28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8"/>
      <c r="Q996" s="24"/>
      <c r="R996" s="28"/>
    </row>
    <row r="997" spans="3:18" x14ac:dyDescent="0.2">
      <c r="C997" s="28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8"/>
      <c r="Q997" s="24"/>
      <c r="R997" s="28"/>
    </row>
    <row r="998" spans="3:18" x14ac:dyDescent="0.2">
      <c r="C998" s="28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8"/>
      <c r="Q998" s="24"/>
      <c r="R998" s="28"/>
    </row>
    <row r="999" spans="3:18" x14ac:dyDescent="0.2">
      <c r="C999" s="28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8"/>
      <c r="Q999" s="24"/>
      <c r="R999" s="28"/>
    </row>
    <row r="1000" spans="3:18" x14ac:dyDescent="0.2">
      <c r="C1000" s="28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8"/>
      <c r="Q1000" s="24"/>
      <c r="R1000" s="28"/>
    </row>
    <row r="1001" spans="3:18" x14ac:dyDescent="0.2">
      <c r="C1001" s="8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8"/>
      <c r="R1001" s="8"/>
    </row>
    <row r="1002" spans="3:18" x14ac:dyDescent="0.2">
      <c r="C1002" s="8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8"/>
      <c r="R1002" s="8"/>
    </row>
    <row r="1003" spans="3:18" x14ac:dyDescent="0.2">
      <c r="C1003" s="8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8"/>
      <c r="R1003" s="8"/>
    </row>
    <row r="1004" spans="3:18" x14ac:dyDescent="0.2">
      <c r="C1004" s="8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8"/>
      <c r="R1004" s="8"/>
    </row>
    <row r="1005" spans="3:18" x14ac:dyDescent="0.2">
      <c r="C1005" s="8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8"/>
      <c r="R1005" s="8"/>
    </row>
    <row r="1006" spans="3:18" x14ac:dyDescent="0.2">
      <c r="C1006" s="8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8"/>
      <c r="R1006" s="8"/>
    </row>
    <row r="1007" spans="3:18" x14ac:dyDescent="0.2">
      <c r="C1007" s="8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8"/>
      <c r="R1007" s="8"/>
    </row>
    <row r="1008" spans="3:18" x14ac:dyDescent="0.2">
      <c r="C1008" s="8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8"/>
      <c r="R1008" s="8"/>
    </row>
    <row r="1009" spans="3:18" x14ac:dyDescent="0.2">
      <c r="C1009" s="8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8"/>
      <c r="R1009" s="8"/>
    </row>
    <row r="1010" spans="3:18" x14ac:dyDescent="0.2">
      <c r="C1010" s="8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8"/>
      <c r="R1010" s="8"/>
    </row>
    <row r="1011" spans="3:18" x14ac:dyDescent="0.2">
      <c r="C1011" s="8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8"/>
      <c r="R1011" s="8"/>
    </row>
    <row r="1012" spans="3:18" x14ac:dyDescent="0.2">
      <c r="C1012" s="8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8"/>
      <c r="R1012" s="8"/>
    </row>
    <row r="1013" spans="3:18" x14ac:dyDescent="0.2">
      <c r="C1013" s="8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8"/>
      <c r="R1013" s="8"/>
    </row>
    <row r="1014" spans="3:18" x14ac:dyDescent="0.2">
      <c r="C1014" s="8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8"/>
      <c r="R1014" s="8"/>
    </row>
    <row r="1015" spans="3:18" x14ac:dyDescent="0.2">
      <c r="C1015" s="8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8"/>
      <c r="R1015" s="8"/>
    </row>
    <row r="1016" spans="3:18" x14ac:dyDescent="0.2">
      <c r="C1016" s="8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8"/>
      <c r="R1016" s="8"/>
    </row>
    <row r="1017" spans="3:18" x14ac:dyDescent="0.2">
      <c r="C1017" s="8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8"/>
      <c r="R1017" s="8"/>
    </row>
    <row r="1018" spans="3:18" x14ac:dyDescent="0.2">
      <c r="C1018" s="8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8"/>
      <c r="R1018" s="8"/>
    </row>
    <row r="1019" spans="3:18" x14ac:dyDescent="0.2">
      <c r="C1019" s="8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8"/>
      <c r="R1019" s="8"/>
    </row>
    <row r="1020" spans="3:18" x14ac:dyDescent="0.2">
      <c r="C1020" s="8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8"/>
      <c r="R1020" s="8"/>
    </row>
    <row r="1021" spans="3:18" x14ac:dyDescent="0.2">
      <c r="C1021" s="8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8"/>
      <c r="R1021" s="8"/>
    </row>
    <row r="1022" spans="3:18" x14ac:dyDescent="0.2">
      <c r="C1022" s="8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8"/>
      <c r="R1022" s="8"/>
    </row>
    <row r="1023" spans="3:18" x14ac:dyDescent="0.2">
      <c r="C1023" s="8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8"/>
      <c r="R1023" s="8"/>
    </row>
    <row r="1024" spans="3:18" x14ac:dyDescent="0.2">
      <c r="C1024" s="8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8"/>
      <c r="R1024" s="8"/>
    </row>
    <row r="1025" spans="3:18" x14ac:dyDescent="0.2">
      <c r="C1025" s="8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8"/>
      <c r="R1025" s="8"/>
    </row>
    <row r="1026" spans="3:18" x14ac:dyDescent="0.2">
      <c r="C1026" s="8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8"/>
      <c r="R1026" s="8"/>
    </row>
    <row r="1027" spans="3:18" x14ac:dyDescent="0.2">
      <c r="C1027" s="8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8"/>
      <c r="R1027" s="8"/>
    </row>
    <row r="1028" spans="3:18" x14ac:dyDescent="0.2">
      <c r="C1028" s="8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8"/>
      <c r="R1028" s="8"/>
    </row>
    <row r="1029" spans="3:18" x14ac:dyDescent="0.2">
      <c r="C1029" s="8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8"/>
      <c r="R1029" s="8"/>
    </row>
    <row r="1030" spans="3:18" x14ac:dyDescent="0.2">
      <c r="C1030" s="8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8"/>
      <c r="R1030" s="8"/>
    </row>
    <row r="1031" spans="3:18" x14ac:dyDescent="0.2">
      <c r="C1031" s="8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8"/>
      <c r="R1031" s="8"/>
    </row>
    <row r="1032" spans="3:18" x14ac:dyDescent="0.2">
      <c r="C1032" s="8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8"/>
      <c r="R1032" s="8"/>
    </row>
    <row r="1033" spans="3:18" x14ac:dyDescent="0.2">
      <c r="C1033" s="8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8"/>
      <c r="R1033" s="8"/>
    </row>
    <row r="1034" spans="3:18" x14ac:dyDescent="0.2">
      <c r="C1034" s="8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8"/>
      <c r="R1034" s="8"/>
    </row>
    <row r="1035" spans="3:18" x14ac:dyDescent="0.2">
      <c r="C1035" s="8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8"/>
      <c r="R1035" s="8"/>
    </row>
    <row r="1036" spans="3:18" x14ac:dyDescent="0.2">
      <c r="C1036" s="8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8"/>
      <c r="R1036" s="8"/>
    </row>
    <row r="1037" spans="3:18" x14ac:dyDescent="0.2">
      <c r="C1037" s="8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8"/>
      <c r="R1037" s="8"/>
    </row>
    <row r="1038" spans="3:18" x14ac:dyDescent="0.2">
      <c r="C1038" s="8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8"/>
      <c r="R1038" s="8"/>
    </row>
    <row r="1039" spans="3:18" x14ac:dyDescent="0.2">
      <c r="C1039" s="8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8"/>
      <c r="R1039" s="8"/>
    </row>
    <row r="1040" spans="3:18" x14ac:dyDescent="0.2">
      <c r="C1040" s="8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8"/>
      <c r="R1040" s="8"/>
    </row>
    <row r="1041" spans="3:18" x14ac:dyDescent="0.2">
      <c r="C1041" s="8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8"/>
      <c r="R1041" s="8"/>
    </row>
    <row r="1042" spans="3:18" x14ac:dyDescent="0.2">
      <c r="C1042" s="8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8"/>
      <c r="R1042" s="8"/>
    </row>
    <row r="1043" spans="3:18" x14ac:dyDescent="0.2">
      <c r="C1043" s="8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8"/>
      <c r="R1043" s="8"/>
    </row>
    <row r="1044" spans="3:18" x14ac:dyDescent="0.2">
      <c r="C1044" s="8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8"/>
      <c r="R1044" s="8"/>
    </row>
    <row r="1045" spans="3:18" x14ac:dyDescent="0.2">
      <c r="C1045" s="8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8"/>
      <c r="R1045" s="8"/>
    </row>
    <row r="1046" spans="3:18" x14ac:dyDescent="0.2">
      <c r="C1046" s="8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8"/>
      <c r="R1046" s="8"/>
    </row>
    <row r="1047" spans="3:18" x14ac:dyDescent="0.2">
      <c r="C1047" s="8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8"/>
      <c r="R1047" s="8"/>
    </row>
    <row r="1048" spans="3:18" x14ac:dyDescent="0.2">
      <c r="C1048" s="8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8"/>
      <c r="R1048" s="8"/>
    </row>
    <row r="1049" spans="3:18" x14ac:dyDescent="0.2">
      <c r="C1049" s="8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8"/>
      <c r="R1049" s="8"/>
    </row>
    <row r="1050" spans="3:18" x14ac:dyDescent="0.2">
      <c r="C1050" s="8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8"/>
      <c r="R1050" s="8"/>
    </row>
    <row r="1051" spans="3:18" x14ac:dyDescent="0.2">
      <c r="C1051" s="8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8"/>
      <c r="R1051" s="8"/>
    </row>
    <row r="1052" spans="3:18" x14ac:dyDescent="0.2">
      <c r="C1052" s="8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8"/>
      <c r="R1052" s="8"/>
    </row>
    <row r="1053" spans="3:18" x14ac:dyDescent="0.2">
      <c r="C1053" s="8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8"/>
      <c r="R1053" s="8"/>
    </row>
    <row r="1054" spans="3:18" x14ac:dyDescent="0.2">
      <c r="C1054" s="8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8"/>
      <c r="R1054" s="8"/>
    </row>
    <row r="1055" spans="3:18" x14ac:dyDescent="0.2">
      <c r="C1055" s="8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8"/>
      <c r="R1055" s="8"/>
    </row>
    <row r="1056" spans="3:18" x14ac:dyDescent="0.2">
      <c r="C1056" s="8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8"/>
      <c r="R1056" s="8"/>
    </row>
    <row r="1057" spans="3:18" x14ac:dyDescent="0.2">
      <c r="C1057" s="8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8"/>
      <c r="R1057" s="8"/>
    </row>
    <row r="1058" spans="3:18" x14ac:dyDescent="0.2">
      <c r="C1058" s="8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8"/>
      <c r="R1058" s="8"/>
    </row>
    <row r="1059" spans="3:18" x14ac:dyDescent="0.2">
      <c r="C1059" s="8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8"/>
      <c r="R1059" s="8"/>
    </row>
    <row r="1060" spans="3:18" x14ac:dyDescent="0.2">
      <c r="C1060" s="8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8"/>
      <c r="R1060" s="8"/>
    </row>
    <row r="1061" spans="3:18" x14ac:dyDescent="0.2">
      <c r="C1061" s="8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8"/>
      <c r="R1061" s="8"/>
    </row>
    <row r="1062" spans="3:18" x14ac:dyDescent="0.2">
      <c r="C1062" s="8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8"/>
      <c r="R1062" s="8"/>
    </row>
    <row r="1063" spans="3:18" x14ac:dyDescent="0.2">
      <c r="C1063" s="8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8"/>
      <c r="R1063" s="8"/>
    </row>
    <row r="1064" spans="3:18" x14ac:dyDescent="0.2">
      <c r="C1064" s="8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8"/>
      <c r="R1064" s="8"/>
    </row>
    <row r="1065" spans="3:18" x14ac:dyDescent="0.2">
      <c r="C1065" s="8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8"/>
      <c r="R1065" s="8"/>
    </row>
    <row r="1066" spans="3:18" x14ac:dyDescent="0.2">
      <c r="C1066" s="8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8"/>
      <c r="R1066" s="8"/>
    </row>
    <row r="1067" spans="3:18" x14ac:dyDescent="0.2">
      <c r="C1067" s="8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8"/>
      <c r="R1067" s="8"/>
    </row>
    <row r="1068" spans="3:18" x14ac:dyDescent="0.2">
      <c r="C1068" s="8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8"/>
      <c r="R1068" s="8"/>
    </row>
    <row r="1069" spans="3:18" x14ac:dyDescent="0.2">
      <c r="C1069" s="8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8"/>
      <c r="R1069" s="8"/>
    </row>
    <row r="1070" spans="3:18" x14ac:dyDescent="0.2">
      <c r="C1070" s="8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8"/>
      <c r="R1070" s="8"/>
    </row>
    <row r="1071" spans="3:18" x14ac:dyDescent="0.2">
      <c r="C1071" s="8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8"/>
      <c r="R1071" s="8"/>
    </row>
    <row r="1072" spans="3:18" x14ac:dyDescent="0.2">
      <c r="C1072" s="8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8"/>
      <c r="R1072" s="8"/>
    </row>
    <row r="1073" spans="3:18" x14ac:dyDescent="0.2">
      <c r="C1073" s="8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8"/>
      <c r="R1073" s="8"/>
    </row>
    <row r="1074" spans="3:18" x14ac:dyDescent="0.2">
      <c r="C1074" s="8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8"/>
      <c r="R1074" s="8"/>
    </row>
    <row r="1075" spans="3:18" x14ac:dyDescent="0.2">
      <c r="C1075" s="8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8"/>
      <c r="R1075" s="8"/>
    </row>
    <row r="1076" spans="3:18" x14ac:dyDescent="0.2">
      <c r="C1076" s="8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8"/>
      <c r="R1076" s="8"/>
    </row>
    <row r="1077" spans="3:18" x14ac:dyDescent="0.2">
      <c r="C1077" s="8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8"/>
      <c r="R1077" s="8"/>
    </row>
    <row r="1078" spans="3:18" x14ac:dyDescent="0.2">
      <c r="C1078" s="8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8"/>
      <c r="R1078" s="8"/>
    </row>
    <row r="1079" spans="3:18" x14ac:dyDescent="0.2">
      <c r="C1079" s="8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8"/>
      <c r="R1079" s="8"/>
    </row>
    <row r="1080" spans="3:18" x14ac:dyDescent="0.2">
      <c r="C1080" s="8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8"/>
      <c r="R1080" s="8"/>
    </row>
    <row r="1081" spans="3:18" x14ac:dyDescent="0.2">
      <c r="C1081" s="8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8"/>
      <c r="R1081" s="8"/>
    </row>
    <row r="1082" spans="3:18" x14ac:dyDescent="0.2">
      <c r="C1082" s="8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8"/>
      <c r="R1082" s="8"/>
    </row>
    <row r="1083" spans="3:18" x14ac:dyDescent="0.2">
      <c r="C1083" s="8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8"/>
      <c r="R1083" s="8"/>
    </row>
    <row r="1084" spans="3:18" x14ac:dyDescent="0.2">
      <c r="C1084" s="8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8"/>
      <c r="R1084" s="8"/>
    </row>
    <row r="1085" spans="3:18" x14ac:dyDescent="0.2">
      <c r="C1085" s="8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8"/>
      <c r="R1085" s="8"/>
    </row>
    <row r="1086" spans="3:18" x14ac:dyDescent="0.2">
      <c r="C1086" s="8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8"/>
      <c r="R1086" s="8"/>
    </row>
    <row r="1087" spans="3:18" x14ac:dyDescent="0.2">
      <c r="C1087" s="8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8"/>
      <c r="R1087" s="8"/>
    </row>
    <row r="1088" spans="3:18" x14ac:dyDescent="0.2">
      <c r="C1088" s="8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8"/>
      <c r="R1088" s="8"/>
    </row>
    <row r="1089" spans="3:18" x14ac:dyDescent="0.2">
      <c r="C1089" s="8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8"/>
      <c r="R1089" s="8"/>
    </row>
    <row r="1090" spans="3:18" x14ac:dyDescent="0.2">
      <c r="C1090" s="8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8"/>
      <c r="R1090" s="8"/>
    </row>
    <row r="1091" spans="3:18" x14ac:dyDescent="0.2">
      <c r="C1091" s="8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8"/>
      <c r="R1091" s="8"/>
    </row>
    <row r="1092" spans="3:18" x14ac:dyDescent="0.2">
      <c r="C1092" s="8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8"/>
      <c r="R1092" s="8"/>
    </row>
    <row r="1093" spans="3:18" x14ac:dyDescent="0.2">
      <c r="C1093" s="8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8"/>
      <c r="R1093" s="8"/>
    </row>
    <row r="1094" spans="3:18" x14ac:dyDescent="0.2">
      <c r="C1094" s="8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8"/>
      <c r="R1094" s="8"/>
    </row>
    <row r="1095" spans="3:18" x14ac:dyDescent="0.2">
      <c r="C1095" s="8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8"/>
      <c r="R1095" s="8"/>
    </row>
    <row r="1096" spans="3:18" x14ac:dyDescent="0.2">
      <c r="C1096" s="8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8"/>
      <c r="R1096" s="8"/>
    </row>
    <row r="1097" spans="3:18" x14ac:dyDescent="0.2">
      <c r="C1097" s="8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8"/>
      <c r="R1097" s="8"/>
    </row>
    <row r="1098" spans="3:18" x14ac:dyDescent="0.2">
      <c r="C1098" s="8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8"/>
      <c r="R1098" s="8"/>
    </row>
    <row r="1099" spans="3:18" x14ac:dyDescent="0.2">
      <c r="C1099" s="8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8"/>
      <c r="R1099" s="8"/>
    </row>
    <row r="1100" spans="3:18" x14ac:dyDescent="0.2">
      <c r="C1100" s="8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8"/>
      <c r="R1100" s="8"/>
    </row>
    <row r="1101" spans="3:18" x14ac:dyDescent="0.2">
      <c r="C1101" s="8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8"/>
      <c r="R1101" s="8"/>
    </row>
    <row r="1102" spans="3:18" x14ac:dyDescent="0.2">
      <c r="C1102" s="8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8"/>
      <c r="R1102" s="8"/>
    </row>
    <row r="1103" spans="3:18" x14ac:dyDescent="0.2">
      <c r="C1103" s="8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8"/>
      <c r="R1103" s="8"/>
    </row>
    <row r="1104" spans="3:18" x14ac:dyDescent="0.2">
      <c r="C1104" s="8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8"/>
      <c r="R1104" s="8"/>
    </row>
    <row r="1105" spans="3:18" x14ac:dyDescent="0.2">
      <c r="C1105" s="8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8"/>
      <c r="R1105" s="8"/>
    </row>
    <row r="1106" spans="3:18" x14ac:dyDescent="0.2">
      <c r="C1106" s="8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8"/>
      <c r="R1106" s="8"/>
    </row>
    <row r="1107" spans="3:18" x14ac:dyDescent="0.2">
      <c r="C1107" s="8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8"/>
      <c r="R1107" s="8"/>
    </row>
    <row r="1108" spans="3:18" x14ac:dyDescent="0.2">
      <c r="C1108" s="8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8"/>
      <c r="R1108" s="8"/>
    </row>
    <row r="1109" spans="3:18" x14ac:dyDescent="0.2">
      <c r="C1109" s="8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8"/>
      <c r="R1109" s="8"/>
    </row>
    <row r="1110" spans="3:18" x14ac:dyDescent="0.2">
      <c r="C1110" s="8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8"/>
      <c r="R1110" s="8"/>
    </row>
    <row r="1111" spans="3:18" x14ac:dyDescent="0.2">
      <c r="C1111" s="8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8"/>
      <c r="R1111" s="8"/>
    </row>
    <row r="1112" spans="3:18" x14ac:dyDescent="0.2">
      <c r="C1112" s="8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8"/>
      <c r="R1112" s="8"/>
    </row>
    <row r="1113" spans="3:18" x14ac:dyDescent="0.2">
      <c r="C1113" s="8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8"/>
      <c r="R1113" s="8"/>
    </row>
    <row r="1114" spans="3:18" x14ac:dyDescent="0.2">
      <c r="C1114" s="8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8"/>
      <c r="R1114" s="8"/>
    </row>
    <row r="1115" spans="3:18" x14ac:dyDescent="0.2">
      <c r="C1115" s="8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8"/>
      <c r="R1115" s="8"/>
    </row>
    <row r="1116" spans="3:18" x14ac:dyDescent="0.2">
      <c r="C1116" s="8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8"/>
      <c r="R1116" s="8"/>
    </row>
    <row r="1117" spans="3:18" x14ac:dyDescent="0.2">
      <c r="C1117" s="8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8"/>
      <c r="R1117" s="8"/>
    </row>
    <row r="1118" spans="3:18" x14ac:dyDescent="0.2">
      <c r="C1118" s="8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8"/>
      <c r="R1118" s="8"/>
    </row>
    <row r="1119" spans="3:18" x14ac:dyDescent="0.2">
      <c r="C1119" s="8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8"/>
      <c r="R1119" s="8"/>
    </row>
    <row r="1120" spans="3:18" x14ac:dyDescent="0.2">
      <c r="C1120" s="8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8"/>
      <c r="R1120" s="8"/>
    </row>
    <row r="1121" spans="3:18" x14ac:dyDescent="0.2">
      <c r="C1121" s="8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8"/>
      <c r="R1121" s="8"/>
    </row>
    <row r="1122" spans="3:18" x14ac:dyDescent="0.2">
      <c r="C1122" s="8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8"/>
      <c r="R1122" s="8"/>
    </row>
    <row r="1123" spans="3:18" x14ac:dyDescent="0.2">
      <c r="C1123" s="8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8"/>
      <c r="R1123" s="8"/>
    </row>
    <row r="1124" spans="3:18" x14ac:dyDescent="0.2">
      <c r="C1124" s="8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8"/>
      <c r="R1124" s="8"/>
    </row>
    <row r="1125" spans="3:18" x14ac:dyDescent="0.2">
      <c r="C1125" s="8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8"/>
      <c r="R1125" s="8"/>
    </row>
    <row r="1126" spans="3:18" x14ac:dyDescent="0.2">
      <c r="C1126" s="8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8"/>
      <c r="R1126" s="8"/>
    </row>
    <row r="1127" spans="3:18" x14ac:dyDescent="0.2">
      <c r="C1127" s="8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8"/>
      <c r="R1127" s="8"/>
    </row>
    <row r="1128" spans="3:18" x14ac:dyDescent="0.2">
      <c r="C1128" s="8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8"/>
      <c r="R1128" s="8"/>
    </row>
    <row r="1129" spans="3:18" x14ac:dyDescent="0.2">
      <c r="C1129" s="8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8"/>
      <c r="R1129" s="8"/>
    </row>
    <row r="1130" spans="3:18" x14ac:dyDescent="0.2">
      <c r="C1130" s="8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8"/>
      <c r="R1130" s="8"/>
    </row>
    <row r="1131" spans="3:18" x14ac:dyDescent="0.2">
      <c r="C1131" s="8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8"/>
      <c r="R1131" s="8"/>
    </row>
    <row r="1132" spans="3:18" x14ac:dyDescent="0.2">
      <c r="C1132" s="8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8"/>
      <c r="R1132" s="8"/>
    </row>
    <row r="1133" spans="3:18" x14ac:dyDescent="0.2">
      <c r="C1133" s="8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8"/>
      <c r="R1133" s="8"/>
    </row>
    <row r="1134" spans="3:18" x14ac:dyDescent="0.2">
      <c r="C1134" s="8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8"/>
      <c r="R1134" s="8"/>
    </row>
    <row r="1135" spans="3:18" x14ac:dyDescent="0.2">
      <c r="C1135" s="8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8"/>
      <c r="R1135" s="8"/>
    </row>
    <row r="1136" spans="3:18" x14ac:dyDescent="0.2">
      <c r="C1136" s="8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8"/>
      <c r="R1136" s="8"/>
    </row>
    <row r="1137" spans="3:18" x14ac:dyDescent="0.2">
      <c r="C1137" s="8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8"/>
      <c r="R1137" s="8"/>
    </row>
    <row r="1138" spans="3:18" x14ac:dyDescent="0.2">
      <c r="C1138" s="8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8"/>
      <c r="R1138" s="8"/>
    </row>
    <row r="1139" spans="3:18" x14ac:dyDescent="0.2">
      <c r="C1139" s="8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8"/>
      <c r="R1139" s="8"/>
    </row>
    <row r="1140" spans="3:18" x14ac:dyDescent="0.2">
      <c r="C1140" s="8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8"/>
      <c r="R1140" s="8"/>
    </row>
    <row r="1141" spans="3:18" x14ac:dyDescent="0.2">
      <c r="C1141" s="8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8"/>
      <c r="R1141" s="8"/>
    </row>
    <row r="1142" spans="3:18" x14ac:dyDescent="0.2">
      <c r="C1142" s="8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8"/>
      <c r="R1142" s="8"/>
    </row>
    <row r="1143" spans="3:18" x14ac:dyDescent="0.2">
      <c r="C1143" s="8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8"/>
      <c r="R1143" s="8"/>
    </row>
    <row r="1144" spans="3:18" x14ac:dyDescent="0.2">
      <c r="C1144" s="8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8"/>
      <c r="R1144" s="8"/>
    </row>
    <row r="1145" spans="3:18" x14ac:dyDescent="0.2">
      <c r="C1145" s="8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8"/>
      <c r="R1145" s="8"/>
    </row>
    <row r="1146" spans="3:18" x14ac:dyDescent="0.2">
      <c r="C1146" s="8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8"/>
      <c r="R1146" s="8"/>
    </row>
    <row r="1147" spans="3:18" x14ac:dyDescent="0.2">
      <c r="C1147" s="8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8"/>
      <c r="R1147" s="8"/>
    </row>
    <row r="1148" spans="3:18" x14ac:dyDescent="0.2">
      <c r="C1148" s="8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8"/>
      <c r="R1148" s="8"/>
    </row>
    <row r="1149" spans="3:18" x14ac:dyDescent="0.2">
      <c r="C1149" s="8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8"/>
      <c r="R1149" s="8"/>
    </row>
    <row r="1150" spans="3:18" x14ac:dyDescent="0.2">
      <c r="C1150" s="8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8"/>
      <c r="R1150" s="8"/>
    </row>
    <row r="1151" spans="3:18" x14ac:dyDescent="0.2">
      <c r="C1151" s="8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8"/>
      <c r="R1151" s="8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jeegers</dc:creator>
  <cp:lastModifiedBy>pierre jeegers</cp:lastModifiedBy>
  <dcterms:created xsi:type="dcterms:W3CDTF">2025-10-20T09:42:46Z</dcterms:created>
  <dcterms:modified xsi:type="dcterms:W3CDTF">2025-10-20T11:23:12Z</dcterms:modified>
</cp:coreProperties>
</file>